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0" yWindow="0" windowWidth="15600" windowHeight="11595" tabRatio="725" activeTab="11"/>
  </bookViews>
  <sheets>
    <sheet name="Титульный лист" sheetId="4" r:id="rId1"/>
    <sheet name="1 день" sheetId="5" r:id="rId2"/>
    <sheet name="2 день" sheetId="6" r:id="rId3"/>
    <sheet name="3 день" sheetId="7" r:id="rId4"/>
    <sheet name="4 день" sheetId="8" r:id="rId5"/>
    <sheet name="5 день" sheetId="9" r:id="rId6"/>
    <sheet name="6 день" sheetId="10" r:id="rId7"/>
    <sheet name="7 день" sheetId="11" r:id="rId8"/>
    <sheet name="8 день" sheetId="12" r:id="rId9"/>
    <sheet name="9 день" sheetId="13" r:id="rId10"/>
    <sheet name="10 день" sheetId="14" r:id="rId11"/>
    <sheet name="свод 10 дней" sheetId="15" r:id="rId12"/>
  </sheets>
  <definedNames>
    <definedName name="_xlnm.Print_Area" localSheetId="1">'1 день'!$A$1:$O$59</definedName>
    <definedName name="_xlnm.Print_Area" localSheetId="10">'10 день'!$A$1:$O$58</definedName>
    <definedName name="_xlnm.Print_Area" localSheetId="2">'2 день'!$A$1:$O$58</definedName>
    <definedName name="_xlnm.Print_Area" localSheetId="3">'3 день'!$A$1:$O$58</definedName>
    <definedName name="_xlnm.Print_Area" localSheetId="4">'4 день'!$A$1:$O$58</definedName>
    <definedName name="_xlnm.Print_Area" localSheetId="5">'5 день'!$A$1:$O$58</definedName>
    <definedName name="_xlnm.Print_Area" localSheetId="6">'6 день'!$A$1:$O$58</definedName>
    <definedName name="_xlnm.Print_Area" localSheetId="7">'7 день'!$A$1:$O$57</definedName>
    <definedName name="_xlnm.Print_Area" localSheetId="8">'8 день'!$A$1:$O$58</definedName>
    <definedName name="_xlnm.Print_Area" localSheetId="9">'9 день'!$A$1:$O$58</definedName>
    <definedName name="_xlnm.Print_Area" localSheetId="11">'свод 10 дней'!$A$1:$H$36</definedName>
    <definedName name="_xlnm.Print_Area" localSheetId="0">'Титульный лист'!$A$1:$O$21</definedName>
  </definedNames>
  <calcPr calcId="145621"/>
</workbook>
</file>

<file path=xl/calcChain.xml><?xml version="1.0" encoding="utf-8"?>
<calcChain xmlns="http://schemas.openxmlformats.org/spreadsheetml/2006/main">
  <c r="E21" i="14" l="1"/>
  <c r="F21" i="14"/>
  <c r="G21" i="14"/>
  <c r="H21" i="14"/>
  <c r="I21" i="14"/>
  <c r="J21" i="14"/>
  <c r="K21" i="14"/>
  <c r="L21" i="14"/>
  <c r="M21" i="14"/>
  <c r="N21" i="14"/>
  <c r="O21" i="14"/>
  <c r="D21" i="14"/>
  <c r="E21" i="13"/>
  <c r="F21" i="13"/>
  <c r="G21" i="13"/>
  <c r="H21" i="13"/>
  <c r="I21" i="13"/>
  <c r="J21" i="13"/>
  <c r="K21" i="13"/>
  <c r="L21" i="13"/>
  <c r="M21" i="13"/>
  <c r="N21" i="13"/>
  <c r="O21" i="13"/>
  <c r="D21" i="13"/>
  <c r="E21" i="12"/>
  <c r="F21" i="12"/>
  <c r="G21" i="12"/>
  <c r="H21" i="12"/>
  <c r="I21" i="12"/>
  <c r="J21" i="12"/>
  <c r="K21" i="12"/>
  <c r="L21" i="12"/>
  <c r="M21" i="12"/>
  <c r="N21" i="12"/>
  <c r="O21" i="12"/>
  <c r="D21" i="12"/>
  <c r="E20" i="11"/>
  <c r="F20" i="11"/>
  <c r="G20" i="11"/>
  <c r="H20" i="11"/>
  <c r="I20" i="11"/>
  <c r="J20" i="11"/>
  <c r="K20" i="11"/>
  <c r="L20" i="11"/>
  <c r="M20" i="11"/>
  <c r="N20" i="11"/>
  <c r="O20" i="11"/>
  <c r="D20" i="11"/>
  <c r="E21" i="8"/>
  <c r="F21" i="8"/>
  <c r="G21" i="8"/>
  <c r="H21" i="8"/>
  <c r="I21" i="8"/>
  <c r="J21" i="8"/>
  <c r="K21" i="8"/>
  <c r="L21" i="8"/>
  <c r="M21" i="8"/>
  <c r="N21" i="8"/>
  <c r="O21" i="8"/>
  <c r="D21" i="8"/>
  <c r="E21" i="7"/>
  <c r="F21" i="7"/>
  <c r="G21" i="7"/>
  <c r="H21" i="7"/>
  <c r="I21" i="7"/>
  <c r="J21" i="7"/>
  <c r="K21" i="7"/>
  <c r="L21" i="7"/>
  <c r="M21" i="7"/>
  <c r="N21" i="7"/>
  <c r="O21" i="7"/>
  <c r="D21" i="7"/>
  <c r="E21" i="6"/>
  <c r="F21" i="6"/>
  <c r="G21" i="6"/>
  <c r="H21" i="6"/>
  <c r="I21" i="6"/>
  <c r="J21" i="6"/>
  <c r="K21" i="6"/>
  <c r="L21" i="6"/>
  <c r="M21" i="6"/>
  <c r="N21" i="6"/>
  <c r="O21" i="6"/>
  <c r="D21" i="6"/>
  <c r="E21" i="5"/>
  <c r="F21" i="5"/>
  <c r="G21" i="5"/>
  <c r="H21" i="5"/>
  <c r="I21" i="5"/>
  <c r="J21" i="5"/>
  <c r="K21" i="5"/>
  <c r="L21" i="5"/>
  <c r="M21" i="5"/>
  <c r="N21" i="5"/>
  <c r="O21" i="5"/>
  <c r="D21" i="5"/>
  <c r="E21" i="10"/>
  <c r="F21" i="10"/>
  <c r="G21" i="10"/>
  <c r="H21" i="10"/>
  <c r="I21" i="10"/>
  <c r="J21" i="10"/>
  <c r="K21" i="10"/>
  <c r="L21" i="10"/>
  <c r="M21" i="10"/>
  <c r="N21" i="10"/>
  <c r="O21" i="10"/>
  <c r="D21" i="10"/>
  <c r="E21" i="9"/>
  <c r="F21" i="9"/>
  <c r="G21" i="9"/>
  <c r="H21" i="9"/>
  <c r="I21" i="9"/>
  <c r="J21" i="9"/>
  <c r="K21" i="9"/>
  <c r="L21" i="9"/>
  <c r="M21" i="9"/>
  <c r="N21" i="9"/>
  <c r="O21" i="9"/>
  <c r="D21" i="9"/>
  <c r="E20" i="14" l="1"/>
  <c r="F20" i="14"/>
  <c r="G20" i="14"/>
  <c r="H20" i="14"/>
  <c r="I20" i="14"/>
  <c r="J20" i="14"/>
  <c r="K20" i="14"/>
  <c r="L20" i="14"/>
  <c r="M20" i="14"/>
  <c r="N20" i="14"/>
  <c r="O20" i="14"/>
  <c r="D20" i="14"/>
  <c r="E20" i="10"/>
  <c r="F20" i="10"/>
  <c r="G20" i="10"/>
  <c r="H20" i="10"/>
  <c r="I20" i="10"/>
  <c r="J20" i="10"/>
  <c r="K20" i="10"/>
  <c r="L20" i="10"/>
  <c r="M20" i="10"/>
  <c r="N20" i="10"/>
  <c r="O20" i="10"/>
  <c r="D20" i="10"/>
  <c r="E20" i="13"/>
  <c r="F20" i="13"/>
  <c r="G20" i="13"/>
  <c r="H20" i="13"/>
  <c r="I20" i="13"/>
  <c r="J20" i="13"/>
  <c r="K20" i="13"/>
  <c r="L20" i="13"/>
  <c r="M20" i="13"/>
  <c r="N20" i="13"/>
  <c r="O20" i="13"/>
  <c r="D20" i="13"/>
  <c r="E20" i="12"/>
  <c r="F20" i="12"/>
  <c r="G20" i="12"/>
  <c r="H20" i="12"/>
  <c r="I20" i="12"/>
  <c r="J20" i="12"/>
  <c r="K20" i="12"/>
  <c r="L20" i="12"/>
  <c r="M20" i="12"/>
  <c r="N20" i="12"/>
  <c r="O20" i="12"/>
  <c r="D20" i="12"/>
  <c r="E19" i="11"/>
  <c r="F19" i="11"/>
  <c r="G19" i="11"/>
  <c r="H19" i="11"/>
  <c r="I19" i="11"/>
  <c r="J19" i="11"/>
  <c r="K19" i="11"/>
  <c r="L19" i="11"/>
  <c r="M19" i="11"/>
  <c r="N19" i="11"/>
  <c r="O19" i="11"/>
  <c r="D19" i="11"/>
  <c r="E20" i="9"/>
  <c r="F20" i="9"/>
  <c r="G20" i="9"/>
  <c r="H20" i="9"/>
  <c r="I20" i="9"/>
  <c r="J20" i="9"/>
  <c r="K20" i="9"/>
  <c r="L20" i="9"/>
  <c r="M20" i="9"/>
  <c r="N20" i="9"/>
  <c r="O20" i="9"/>
  <c r="D20" i="9"/>
  <c r="E20" i="8"/>
  <c r="F20" i="8"/>
  <c r="G20" i="8"/>
  <c r="H20" i="8"/>
  <c r="I20" i="8"/>
  <c r="J20" i="8"/>
  <c r="K20" i="8"/>
  <c r="L20" i="8"/>
  <c r="M20" i="8"/>
  <c r="N20" i="8"/>
  <c r="O20" i="8"/>
  <c r="D20" i="8"/>
  <c r="E20" i="7"/>
  <c r="F20" i="7"/>
  <c r="G20" i="7"/>
  <c r="H20" i="7"/>
  <c r="I20" i="7"/>
  <c r="J20" i="7"/>
  <c r="K20" i="7"/>
  <c r="L20" i="7"/>
  <c r="M20" i="7"/>
  <c r="N20" i="7"/>
  <c r="O20" i="7"/>
  <c r="D20" i="7"/>
  <c r="E20" i="6"/>
  <c r="F20" i="6"/>
  <c r="G20" i="6"/>
  <c r="H20" i="6"/>
  <c r="I20" i="6"/>
  <c r="J20" i="6"/>
  <c r="K20" i="6"/>
  <c r="L20" i="6"/>
  <c r="M20" i="6"/>
  <c r="N20" i="6"/>
  <c r="O20" i="6"/>
  <c r="D20" i="6"/>
  <c r="D20" i="5"/>
  <c r="E15" i="14"/>
  <c r="F15" i="14"/>
  <c r="G15" i="14"/>
  <c r="H15" i="14"/>
  <c r="I15" i="14"/>
  <c r="J15" i="14"/>
  <c r="K15" i="14"/>
  <c r="L15" i="14"/>
  <c r="M15" i="14"/>
  <c r="N15" i="14"/>
  <c r="O15" i="14"/>
  <c r="D15" i="14"/>
  <c r="E15" i="13"/>
  <c r="F15" i="13"/>
  <c r="G15" i="13"/>
  <c r="H15" i="13"/>
  <c r="I15" i="13"/>
  <c r="J15" i="13"/>
  <c r="K15" i="13"/>
  <c r="L15" i="13"/>
  <c r="M15" i="13"/>
  <c r="N15" i="13"/>
  <c r="O15" i="13"/>
  <c r="D15" i="13"/>
  <c r="E14" i="12"/>
  <c r="F14" i="12"/>
  <c r="G14" i="12"/>
  <c r="H14" i="12"/>
  <c r="I14" i="12"/>
  <c r="J14" i="12"/>
  <c r="K14" i="12"/>
  <c r="L14" i="12"/>
  <c r="M14" i="12"/>
  <c r="N14" i="12"/>
  <c r="O14" i="12"/>
  <c r="D14" i="12"/>
  <c r="E14" i="11"/>
  <c r="F14" i="11"/>
  <c r="G14" i="11"/>
  <c r="H14" i="11"/>
  <c r="I14" i="11"/>
  <c r="J14" i="11"/>
  <c r="K14" i="11"/>
  <c r="L14" i="11"/>
  <c r="M14" i="11"/>
  <c r="N14" i="11"/>
  <c r="O14" i="11"/>
  <c r="D14" i="11"/>
  <c r="E15" i="10"/>
  <c r="F15" i="10"/>
  <c r="G15" i="10"/>
  <c r="H15" i="10"/>
  <c r="I15" i="10"/>
  <c r="J15" i="10"/>
  <c r="K15" i="10"/>
  <c r="L15" i="10"/>
  <c r="M15" i="10"/>
  <c r="N15" i="10"/>
  <c r="O15" i="10"/>
  <c r="D15" i="10"/>
  <c r="E15" i="9"/>
  <c r="F15" i="9"/>
  <c r="G15" i="9"/>
  <c r="H15" i="9"/>
  <c r="I15" i="9"/>
  <c r="J15" i="9"/>
  <c r="K15" i="9"/>
  <c r="L15" i="9"/>
  <c r="M15" i="9"/>
  <c r="N15" i="9"/>
  <c r="O15" i="9"/>
  <c r="D15" i="9"/>
  <c r="E15" i="8"/>
  <c r="F15" i="8"/>
  <c r="G15" i="8"/>
  <c r="H15" i="8"/>
  <c r="I15" i="8"/>
  <c r="J15" i="8"/>
  <c r="K15" i="8"/>
  <c r="L15" i="8"/>
  <c r="M15" i="8"/>
  <c r="N15" i="8"/>
  <c r="O15" i="8"/>
  <c r="D15" i="8"/>
  <c r="E15" i="7"/>
  <c r="F15" i="7"/>
  <c r="G15" i="7"/>
  <c r="H15" i="7"/>
  <c r="I15" i="7"/>
  <c r="J15" i="7"/>
  <c r="K15" i="7"/>
  <c r="L15" i="7"/>
  <c r="M15" i="7"/>
  <c r="N15" i="7"/>
  <c r="O15" i="7"/>
  <c r="D15" i="7"/>
  <c r="E15" i="6"/>
  <c r="F15" i="6"/>
  <c r="G15" i="6"/>
  <c r="H15" i="6"/>
  <c r="I15" i="6"/>
  <c r="J15" i="6"/>
  <c r="K15" i="6"/>
  <c r="L15" i="6"/>
  <c r="M15" i="6"/>
  <c r="N15" i="6"/>
  <c r="O15" i="6"/>
  <c r="D15" i="6"/>
  <c r="E15" i="5"/>
  <c r="F15" i="5"/>
  <c r="G15" i="5"/>
  <c r="H15" i="5"/>
  <c r="I15" i="5"/>
  <c r="J15" i="5"/>
  <c r="K15" i="5"/>
  <c r="L15" i="5"/>
  <c r="M15" i="5"/>
  <c r="N15" i="5"/>
  <c r="O15" i="5"/>
  <c r="D15" i="5"/>
  <c r="H20" i="5"/>
  <c r="I20" i="5"/>
  <c r="J20" i="5"/>
  <c r="K20" i="5"/>
  <c r="L20" i="5"/>
  <c r="M20" i="5"/>
  <c r="N20" i="5"/>
  <c r="O20" i="5"/>
  <c r="G53" i="10" l="1"/>
  <c r="G53" i="13"/>
  <c r="F27" i="15"/>
  <c r="F14" i="15"/>
  <c r="F13" i="15" l="1"/>
  <c r="G13" i="15"/>
  <c r="G52" i="11"/>
  <c r="G38" i="11"/>
  <c r="G53" i="6"/>
  <c r="G53" i="8"/>
  <c r="G53" i="7"/>
  <c r="G39" i="7"/>
  <c r="E20" i="5" l="1"/>
  <c r="F20" i="5"/>
  <c r="G20" i="5"/>
  <c r="F32" i="15"/>
  <c r="F31" i="15"/>
  <c r="F30" i="15"/>
  <c r="F29" i="15"/>
  <c r="F28" i="15"/>
  <c r="G26" i="15"/>
  <c r="F26" i="15"/>
  <c r="F25" i="15"/>
  <c r="F24" i="15"/>
  <c r="F23" i="15"/>
  <c r="G22" i="15"/>
  <c r="F22" i="15"/>
  <c r="G21" i="15"/>
  <c r="F21" i="15"/>
  <c r="G20" i="15"/>
  <c r="F20" i="15"/>
  <c r="G19" i="15"/>
  <c r="F19" i="15"/>
  <c r="G17" i="15"/>
  <c r="F17" i="15"/>
  <c r="G16" i="15"/>
  <c r="F16" i="15"/>
  <c r="G15" i="15"/>
  <c r="F15" i="15"/>
  <c r="G12" i="15"/>
  <c r="F12" i="15"/>
  <c r="G11" i="15"/>
  <c r="F11" i="15"/>
  <c r="G10" i="15"/>
  <c r="F10" i="15"/>
  <c r="F9" i="15"/>
  <c r="F8" i="15"/>
  <c r="H34" i="10"/>
  <c r="G34" i="10"/>
  <c r="F7" i="15"/>
  <c r="G6" i="15"/>
  <c r="F6" i="15"/>
  <c r="G52" i="7"/>
  <c r="G51" i="7"/>
  <c r="H50" i="7"/>
  <c r="G50" i="7"/>
  <c r="G45" i="7"/>
  <c r="H42" i="7"/>
  <c r="G42" i="7"/>
  <c r="H38" i="7"/>
  <c r="G38" i="7"/>
  <c r="H37" i="7"/>
  <c r="G37" i="7"/>
  <c r="G33" i="7"/>
  <c r="G32" i="7"/>
  <c r="H37" i="14"/>
  <c r="G37" i="14"/>
  <c r="H42" i="14"/>
  <c r="G42" i="14"/>
  <c r="H41" i="12"/>
  <c r="G41" i="12"/>
  <c r="H40" i="11"/>
  <c r="G40" i="11"/>
  <c r="H41" i="9"/>
  <c r="G41" i="9"/>
  <c r="H41" i="8"/>
  <c r="G41" i="8"/>
  <c r="G53" i="5"/>
  <c r="G46" i="5"/>
  <c r="G51" i="5"/>
  <c r="G54" i="5"/>
  <c r="G34" i="5"/>
  <c r="G53" i="14"/>
  <c r="G50" i="14"/>
  <c r="H45" i="14"/>
  <c r="G45" i="14"/>
  <c r="H36" i="14"/>
  <c r="G36" i="14"/>
  <c r="G51" i="13"/>
  <c r="G45" i="13"/>
  <c r="G38" i="13"/>
  <c r="H37" i="13"/>
  <c r="G37" i="13"/>
  <c r="G34" i="13"/>
  <c r="G32" i="13"/>
  <c r="G53" i="12"/>
  <c r="H37" i="12"/>
  <c r="G37" i="12"/>
  <c r="G34" i="12"/>
  <c r="G33" i="12"/>
  <c r="G32" i="12"/>
  <c r="G51" i="11"/>
  <c r="G49" i="11"/>
  <c r="H44" i="11"/>
  <c r="G44" i="11"/>
  <c r="H37" i="11"/>
  <c r="G37" i="11"/>
  <c r="H36" i="11"/>
  <c r="G36" i="11"/>
  <c r="G32" i="11"/>
  <c r="G51" i="10"/>
  <c r="G50" i="10"/>
  <c r="G38" i="10"/>
  <c r="H37" i="10"/>
  <c r="G37" i="10"/>
  <c r="G36" i="10"/>
  <c r="G33" i="10"/>
  <c r="G32" i="10"/>
  <c r="G53" i="9"/>
  <c r="H50" i="9"/>
  <c r="G50" i="9"/>
  <c r="G45" i="9"/>
  <c r="H37" i="9"/>
  <c r="G37" i="9"/>
  <c r="H36" i="9"/>
  <c r="G36" i="9"/>
  <c r="G34" i="9"/>
  <c r="H33" i="9"/>
  <c r="G33" i="9"/>
  <c r="G32" i="9"/>
  <c r="G51" i="8"/>
  <c r="G50" i="8"/>
  <c r="H45" i="8"/>
  <c r="G45" i="8"/>
  <c r="G38" i="8"/>
  <c r="H37" i="8"/>
  <c r="G37" i="8"/>
  <c r="G34" i="8"/>
  <c r="G33" i="8"/>
  <c r="G32" i="8"/>
  <c r="G58" i="6"/>
  <c r="H52" i="6"/>
  <c r="G52" i="6"/>
  <c r="G51" i="6"/>
  <c r="G50" i="6"/>
  <c r="H47" i="6"/>
  <c r="G47" i="6"/>
  <c r="H45" i="6"/>
  <c r="G45" i="6"/>
  <c r="G38" i="6"/>
  <c r="H37" i="6"/>
  <c r="G37" i="6"/>
  <c r="H36" i="6"/>
  <c r="G36" i="6"/>
  <c r="H33" i="6"/>
  <c r="G33" i="6"/>
  <c r="H46" i="5"/>
  <c r="H42" i="5"/>
  <c r="G42" i="5"/>
  <c r="H39" i="5"/>
  <c r="G39" i="5"/>
  <c r="H38" i="5"/>
  <c r="G38" i="5"/>
  <c r="G35" i="5"/>
  <c r="H33" i="5" l="1"/>
  <c r="G33" i="5"/>
  <c r="G32" i="5"/>
  <c r="F25" i="10" l="1"/>
  <c r="G25" i="10"/>
  <c r="G25" i="9"/>
  <c r="H25" i="9"/>
  <c r="I25" i="9"/>
  <c r="J25" i="9"/>
  <c r="H25" i="10"/>
  <c r="I25" i="10" l="1"/>
  <c r="H25" i="8"/>
  <c r="H25" i="13"/>
  <c r="I26" i="5"/>
  <c r="G26" i="5"/>
  <c r="F25" i="6"/>
  <c r="G25" i="12"/>
  <c r="I25" i="13"/>
  <c r="F26" i="5"/>
  <c r="F25" i="12"/>
  <c r="H26" i="5"/>
  <c r="F25" i="14"/>
  <c r="H25" i="12"/>
  <c r="I25" i="6"/>
  <c r="G25" i="8"/>
  <c r="F25" i="7"/>
  <c r="H25" i="7"/>
  <c r="G25" i="13"/>
  <c r="I25" i="8"/>
  <c r="H25" i="6"/>
  <c r="G25" i="6"/>
  <c r="I25" i="12"/>
  <c r="G25" i="7"/>
  <c r="I25" i="7"/>
  <c r="F25" i="13"/>
  <c r="F25" i="8"/>
  <c r="G25" i="14"/>
  <c r="H25" i="14"/>
  <c r="I25" i="14"/>
  <c r="F24" i="11"/>
  <c r="G24" i="11"/>
  <c r="H24" i="11"/>
  <c r="I24" i="11"/>
  <c r="H36" i="15" l="1"/>
  <c r="G36" i="15"/>
  <c r="E36" i="15"/>
  <c r="F36" i="15"/>
</calcChain>
</file>

<file path=xl/comments1.xml><?xml version="1.0" encoding="utf-8"?>
<comments xmlns="http://schemas.openxmlformats.org/spreadsheetml/2006/main">
  <authors>
    <author>Анастасия Мухина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Мухина: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Мухина: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<sst xmlns="http://schemas.openxmlformats.org/spreadsheetml/2006/main" count="1050" uniqueCount="134">
  <si>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</si>
  <si>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</si>
  <si>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</si>
  <si>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</si>
  <si>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</si>
  <si>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</si>
  <si>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</si>
  <si>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</si>
  <si>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</si>
  <si>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</si>
  <si>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</si>
  <si>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</si>
  <si>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Макароны отварные с маслом</t>
  </si>
  <si>
    <t>Пюре картофельное</t>
  </si>
  <si>
    <t>Хлеб ржано-пшеничный</t>
  </si>
  <si>
    <t>ИТОГО за день:</t>
  </si>
  <si>
    <t>Каша гречневая рассыпчатая</t>
  </si>
  <si>
    <r>
      <t>В</t>
    </r>
    <r>
      <rPr>
        <b/>
        <sz val="8"/>
        <color theme="1"/>
        <rFont val="Calibri"/>
        <family val="2"/>
        <charset val="204"/>
        <scheme val="minor"/>
      </rPr>
      <t>1</t>
    </r>
  </si>
  <si>
    <t>Приём пищи, наименование блюда</t>
  </si>
  <si>
    <t>Полдник</t>
  </si>
  <si>
    <t>Обед</t>
  </si>
  <si>
    <t>Масса порции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</si>
  <si>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</si>
  <si>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</si>
  <si>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</si>
  <si>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</si>
  <si>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</si>
  <si>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</si>
  <si>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</si>
  <si>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</si>
  <si>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</si>
  <si>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</si>
  <si>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</si>
  <si>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</si>
  <si>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</si>
  <si>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</si>
  <si>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 xml:space="preserve"> Обед</t>
  </si>
  <si>
    <t xml:space="preserve">День: </t>
  </si>
  <si>
    <t>понедельник</t>
  </si>
  <si>
    <t xml:space="preserve">Неделя: </t>
  </si>
  <si>
    <t>первая</t>
  </si>
  <si>
    <t xml:space="preserve">Сезон: </t>
  </si>
  <si>
    <t>осенне-зимний</t>
  </si>
  <si>
    <t xml:space="preserve">Возрастная категория: </t>
  </si>
  <si>
    <t>7-11 лет</t>
  </si>
  <si>
    <t>вторник</t>
  </si>
  <si>
    <t>среда</t>
  </si>
  <si>
    <t>четверг</t>
  </si>
  <si>
    <t>пятница</t>
  </si>
  <si>
    <t>В1</t>
  </si>
  <si>
    <t>ИТОГО</t>
  </si>
  <si>
    <t>Средние показания на день</t>
  </si>
  <si>
    <t>пищевые вещества</t>
  </si>
  <si>
    <t>энергет. ценн. ккал</t>
  </si>
  <si>
    <t>По меню</t>
  </si>
  <si>
    <t>По меню среднее за 10 дней</t>
  </si>
  <si>
    <t>вторая</t>
  </si>
  <si>
    <t>Наименование продуктов</t>
  </si>
  <si>
    <t>Количество продуктов в зависимости от возраста обучающихся</t>
  </si>
  <si>
    <t>в г, мл, брутто</t>
  </si>
  <si>
    <t>в г, мл, нетто</t>
  </si>
  <si>
    <t>Хлеб ржаной (ржано-пшеничный)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</si>
  <si>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</si>
  <si>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</si>
  <si>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</si>
  <si>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</si>
  <si>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</si>
  <si>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250 &lt;*&gt;</t>
  </si>
  <si>
    <t>Овощи свежие, зелень</t>
  </si>
  <si>
    <t>280 &lt;**&gt;</t>
  </si>
  <si>
    <t>Фрукты (плоды) свежие</t>
  </si>
  <si>
    <t>185 &lt;**&gt;</t>
  </si>
  <si>
    <t>Фрукты (плоды) сухие, в т.ч. шиповник</t>
  </si>
  <si>
    <t>Соки плодоовощные, напитки витаминизированные, в т.ч. инстантные</t>
  </si>
  <si>
    <t>Мясо жилованное (мясо на кости) 1 кат.</t>
  </si>
  <si>
    <t>77 (95)</t>
  </si>
  <si>
    <t>Цыплята 1 категории потрошеные (куры 1 кат. п/п)</t>
  </si>
  <si>
    <t>40 (51)</t>
  </si>
  <si>
    <t>Рыба-филе</t>
  </si>
  <si>
    <t>Колбасные изделия</t>
  </si>
  <si>
    <t>Молоко (массовая доля жира 2,5%, 3,2%)</t>
  </si>
  <si>
    <t>Кисломолочные продукты (массовая доля жира 2,5%, 3,2%)</t>
  </si>
  <si>
    <t>Творог (массовая доля жира не более 9%)</t>
  </si>
  <si>
    <t>Сыр</t>
  </si>
  <si>
    <t>Сметана (массовая доля жира не более 15%)</t>
  </si>
  <si>
    <t>Масло сливочное</t>
  </si>
  <si>
    <t>Масло растительное</t>
  </si>
  <si>
    <t>Яйцо диетическое</t>
  </si>
  <si>
    <t>1 шт.</t>
  </si>
  <si>
    <t>Сахар &lt;***&gt;</t>
  </si>
  <si>
    <t>Кондитерские изделия</t>
  </si>
  <si>
    <t>Чай</t>
  </si>
  <si>
    <t>Какао</t>
  </si>
  <si>
    <t>Дрожжи хлебопекарные</t>
  </si>
  <si>
    <t>Соль</t>
  </si>
  <si>
    <t>Рекомендуемые среднесуточные наборы пищевых продуктов, в том числе используемые для приготовления блюд и напитков, для обучающихся общеобразовательных учреждений</t>
  </si>
  <si>
    <t>Средняя за 10 дней</t>
  </si>
  <si>
    <r>
      <t>В</t>
    </r>
    <r>
      <rPr>
        <sz val="8"/>
        <color theme="1"/>
        <rFont val="Calibri"/>
        <family val="2"/>
        <charset val="204"/>
        <scheme val="minor"/>
      </rPr>
      <t>1</t>
    </r>
  </si>
  <si>
    <t>Компот из свежих яблок</t>
  </si>
  <si>
    <t>Куринное мясо отварное с соусом</t>
  </si>
  <si>
    <t>Чай-заварка</t>
  </si>
  <si>
    <t xml:space="preserve">            0,00</t>
  </si>
  <si>
    <t>Суп с макаронными изделиями и картофелем на мясокостном куринном бульоне</t>
  </si>
  <si>
    <t>Суп  картофельный с горохом на мясокостном курином бульоне</t>
  </si>
  <si>
    <t>Салат из моркови с яблоками</t>
  </si>
  <si>
    <t>Салат из белокочанной капусты с морковью</t>
  </si>
  <si>
    <t>Винегрет овощной с растительным маслом (лук репчатый)</t>
  </si>
  <si>
    <t>Салат из свеклы отварной с яблоками</t>
  </si>
  <si>
    <t>Суп крестьянский с крупой ( рис) на м/к бульоне</t>
  </si>
  <si>
    <t>2-7 лет</t>
  </si>
  <si>
    <t>2-7лет</t>
  </si>
  <si>
    <t>Примерное десятидневное меню</t>
  </si>
  <si>
    <t>Щи из свежей капусты с картофелем на мясокостном бульоне</t>
  </si>
  <si>
    <t>Борщ с капустой и картофелем на мясокостном бульоне</t>
  </si>
  <si>
    <t>Рассольник ленинградский с крупой пшенной на мясокостном бульоне</t>
  </si>
  <si>
    <t>Рыба тушеная в томате с овощами (минтай)</t>
  </si>
  <si>
    <t>Гуляш из отварного мяса (кура) в томатном соусе</t>
  </si>
  <si>
    <t>Рис отварной</t>
  </si>
  <si>
    <t>Тефтели мясные паровые</t>
  </si>
  <si>
    <t>Печень тушенная в соусе</t>
  </si>
  <si>
    <t>Жаркое по - домашнему</t>
  </si>
  <si>
    <t>Голубцы ленивые</t>
  </si>
  <si>
    <t>Сок фруктовый (яблочный)</t>
  </si>
  <si>
    <t>0,022</t>
  </si>
  <si>
    <t>Напиток из свежих яблок с витамином "С"</t>
  </si>
  <si>
    <t>Кисель ягодный</t>
  </si>
  <si>
    <t>По меню за день</t>
  </si>
  <si>
    <t>Котлета рубленная из птицы</t>
  </si>
  <si>
    <t>7-11  лет</t>
  </si>
  <si>
    <t>7-11лет</t>
  </si>
  <si>
    <t>СОГЛАСОВАНО</t>
  </si>
  <si>
    <t>УТВЕРЖДАЮ</t>
  </si>
  <si>
    <t>Директор школы                                                                   И.В. Катаева</t>
  </si>
  <si>
    <t>для детей школьного возраста в МОУ "Морозовская НОШ" Тверской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</si>
</sst>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45454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33333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Font="1"/>
    <xf numFmtId="0" fontId="10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vertical="top" wrapText="1"/>
      <protection hidden="1"/>
    </xf>
    <xf numFmtId="164" fontId="7" fillId="0" borderId="1" xfId="1" applyFont="1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16" fillId="0" borderId="0" xfId="0" applyFont="1" applyAlignment="1">
      <alignment horizontal="justify" vertical="center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top" wrapText="1"/>
      <protection hidden="1"/>
    </xf>
    <xf numFmtId="164" fontId="7" fillId="0" borderId="1" xfId="1" applyFont="1" applyFill="1" applyBorder="1" applyAlignment="1" applyProtection="1">
      <alignment vertical="center" wrapText="1"/>
      <protection hidden="1"/>
    </xf>
    <xf numFmtId="164" fontId="7" fillId="0" borderId="0" xfId="1" applyFont="1" applyBorder="1" applyAlignment="1" applyProtection="1">
      <alignment vertical="top" wrapText="1"/>
      <protection hidden="1"/>
    </xf>
    <xf numFmtId="0" fontId="0" fillId="0" borderId="0" xfId="0" applyBorder="1"/>
    <xf numFmtId="0" fontId="2" fillId="0" borderId="0" xfId="0" applyFont="1" applyBorder="1" applyProtection="1">
      <protection hidden="1"/>
    </xf>
    <xf numFmtId="164" fontId="7" fillId="0" borderId="0" xfId="1" applyFont="1" applyBorder="1" applyAlignment="1" applyProtection="1">
      <alignment wrapText="1"/>
      <protection hidden="1"/>
    </xf>
    <xf numFmtId="164" fontId="5" fillId="6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justify" vertical="top" wrapText="1"/>
      <protection hidden="1"/>
    </xf>
    <xf numFmtId="164" fontId="5" fillId="3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3" borderId="0" xfId="0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0" fontId="2" fillId="0" borderId="0" xfId="0" applyFont="1" applyFill="1" applyProtection="1">
      <protection hidden="1"/>
    </xf>
    <xf numFmtId="164" fontId="7" fillId="0" borderId="0" xfId="1" applyFont="1" applyFill="1" applyBorder="1" applyAlignment="1" applyProtection="1">
      <alignment horizontal="center" vertical="top" wrapText="1"/>
      <protection hidden="1"/>
    </xf>
    <xf numFmtId="0" fontId="5" fillId="3" borderId="2" xfId="0" applyFont="1" applyFill="1" applyBorder="1" applyAlignment="1" applyProtection="1">
      <alignment vertical="top" wrapText="1"/>
      <protection hidden="1"/>
    </xf>
    <xf numFmtId="0" fontId="5" fillId="3" borderId="3" xfId="0" applyFont="1" applyFill="1" applyBorder="1" applyAlignment="1" applyProtection="1">
      <alignment vertical="top" wrapText="1"/>
      <protection hidden="1"/>
    </xf>
    <xf numFmtId="164" fontId="5" fillId="3" borderId="3" xfId="0" applyNumberFormat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164" fontId="7" fillId="0" borderId="0" xfId="1" applyFont="1" applyBorder="1" applyAlignment="1" applyProtection="1">
      <alignment vertical="center" wrapText="1"/>
      <protection hidden="1"/>
    </xf>
    <xf numFmtId="2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164" fontId="7" fillId="0" borderId="0" xfId="1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2" fillId="4" borderId="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top" wrapText="1"/>
      <protection hidden="1"/>
    </xf>
    <xf numFmtId="164" fontId="0" fillId="0" borderId="0" xfId="0" applyNumberFormat="1"/>
    <xf numFmtId="0" fontId="8" fillId="0" borderId="2" xfId="0" applyFont="1" applyBorder="1" applyAlignment="1" applyProtection="1">
      <alignment vertical="top" wrapText="1"/>
      <protection hidden="1"/>
    </xf>
    <xf numFmtId="0" fontId="9" fillId="0" borderId="3" xfId="0" applyFont="1" applyBorder="1" applyAlignment="1" applyProtection="1">
      <alignment vertical="top" wrapText="1"/>
      <protection hidden="1"/>
    </xf>
    <xf numFmtId="0" fontId="9" fillId="0" borderId="4" xfId="0" applyFont="1" applyBorder="1" applyAlignment="1" applyProtection="1">
      <alignment vertical="top" wrapText="1"/>
      <protection hidden="1"/>
    </xf>
    <xf numFmtId="0" fontId="8" fillId="0" borderId="2" xfId="0" applyFont="1" applyFill="1" applyBorder="1" applyAlignment="1" applyProtection="1">
      <alignment vertical="top" wrapText="1"/>
      <protection hidden="1"/>
    </xf>
    <xf numFmtId="0" fontId="0" fillId="0" borderId="0" xfId="0" applyFill="1" applyBorder="1"/>
    <xf numFmtId="0" fontId="2" fillId="0" borderId="0" xfId="0" applyFont="1" applyFill="1" applyBorder="1" applyProtection="1">
      <protection hidden="1"/>
    </xf>
    <xf numFmtId="0" fontId="8" fillId="0" borderId="3" xfId="0" applyFont="1" applyFill="1" applyBorder="1" applyAlignment="1" applyProtection="1">
      <alignment vertical="top" wrapText="1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164" fontId="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wrapText="1"/>
    </xf>
    <xf numFmtId="0" fontId="24" fillId="0" borderId="0" xfId="0" applyFont="1"/>
    <xf numFmtId="0" fontId="25" fillId="2" borderId="1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 applyProtection="1">
      <alignment horizontal="center" vertical="top" wrapText="1"/>
      <protection hidden="1"/>
    </xf>
    <xf numFmtId="164" fontId="29" fillId="0" borderId="1" xfId="1" applyFont="1" applyFill="1" applyBorder="1" applyAlignment="1" applyProtection="1">
      <alignment vertical="center" wrapText="1"/>
      <protection hidden="1"/>
    </xf>
    <xf numFmtId="0" fontId="30" fillId="0" borderId="0" xfId="0" applyFont="1" applyFill="1" applyProtection="1">
      <protection hidden="1"/>
    </xf>
    <xf numFmtId="164" fontId="29" fillId="0" borderId="1" xfId="1" applyFont="1" applyBorder="1" applyAlignment="1" applyProtection="1">
      <alignment vertical="center" wrapText="1"/>
      <protection hidden="1"/>
    </xf>
    <xf numFmtId="0" fontId="24" fillId="0" borderId="0" xfId="0" applyFont="1" applyFill="1"/>
    <xf numFmtId="0" fontId="28" fillId="5" borderId="1" xfId="0" applyFont="1" applyFill="1" applyBorder="1" applyAlignment="1" applyProtection="1">
      <alignment horizontal="center" vertical="top" wrapText="1"/>
      <protection hidden="1"/>
    </xf>
    <xf numFmtId="0" fontId="30" fillId="0" borderId="1" xfId="0" applyFont="1" applyBorder="1" applyAlignment="1" applyProtection="1">
      <alignment vertical="top" wrapText="1"/>
      <protection hidden="1"/>
    </xf>
    <xf numFmtId="0" fontId="31" fillId="3" borderId="1" xfId="0" applyFont="1" applyFill="1" applyBorder="1" applyAlignment="1" applyProtection="1">
      <alignment vertical="top" wrapText="1"/>
      <protection hidden="1"/>
    </xf>
    <xf numFmtId="2" fontId="33" fillId="0" borderId="12" xfId="0" applyNumberFormat="1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/>
    </xf>
    <xf numFmtId="2" fontId="33" fillId="0" borderId="15" xfId="0" applyNumberFormat="1" applyFont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/>
    </xf>
    <xf numFmtId="0" fontId="36" fillId="0" borderId="0" xfId="0" applyFont="1"/>
    <xf numFmtId="0" fontId="37" fillId="4" borderId="1" xfId="0" applyFont="1" applyFill="1" applyBorder="1" applyAlignment="1">
      <alignment vertical="center" wrapText="1"/>
    </xf>
    <xf numFmtId="0" fontId="37" fillId="4" borderId="1" xfId="0" applyFont="1" applyFill="1" applyBorder="1" applyAlignment="1">
      <alignment horizontal="left" vertical="top" wrapText="1"/>
    </xf>
    <xf numFmtId="2" fontId="38" fillId="0" borderId="1" xfId="0" applyNumberFormat="1" applyFont="1" applyBorder="1"/>
    <xf numFmtId="0" fontId="37" fillId="5" borderId="1" xfId="0" applyFont="1" applyFill="1" applyBorder="1" applyAlignment="1">
      <alignment horizontal="left" vertical="top" wrapText="1"/>
    </xf>
    <xf numFmtId="2" fontId="38" fillId="5" borderId="1" xfId="0" applyNumberFormat="1" applyFont="1" applyFill="1" applyBorder="1"/>
    <xf numFmtId="0" fontId="36" fillId="5" borderId="0" xfId="0" applyFont="1" applyFill="1"/>
    <xf numFmtId="0" fontId="36" fillId="8" borderId="0" xfId="0" applyFont="1" applyFill="1"/>
    <xf numFmtId="2" fontId="38" fillId="0" borderId="1" xfId="0" applyNumberFormat="1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NumberFormat="1" applyFont="1"/>
    <xf numFmtId="0" fontId="28" fillId="0" borderId="1" xfId="0" applyNumberFormat="1" applyFont="1" applyFill="1" applyBorder="1" applyAlignment="1" applyProtection="1">
      <alignment horizontal="center" vertical="top" wrapText="1"/>
      <protection hidden="1"/>
    </xf>
    <xf numFmtId="0" fontId="30" fillId="0" borderId="1" xfId="0" applyNumberFormat="1" applyFont="1" applyBorder="1" applyAlignment="1" applyProtection="1">
      <alignment vertical="top" wrapText="1"/>
      <protection hidden="1"/>
    </xf>
    <xf numFmtId="0" fontId="24" fillId="0" borderId="0" xfId="0" applyNumberFormat="1" applyFont="1" applyBorder="1"/>
    <xf numFmtId="164" fontId="29" fillId="0" borderId="2" xfId="1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/>
    <xf numFmtId="0" fontId="0" fillId="0" borderId="1" xfId="0" applyFill="1" applyBorder="1"/>
    <xf numFmtId="0" fontId="2" fillId="0" borderId="1" xfId="0" applyFont="1" applyFill="1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2" fontId="2" fillId="0" borderId="1" xfId="0" applyNumberFormat="1" applyFont="1" applyBorder="1"/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5" fillId="9" borderId="1" xfId="0" applyFont="1" applyFill="1" applyBorder="1" applyAlignment="1" applyProtection="1">
      <alignment vertical="top" wrapText="1"/>
      <protection hidden="1"/>
    </xf>
    <xf numFmtId="0" fontId="2" fillId="9" borderId="1" xfId="0" applyFont="1" applyFill="1" applyBorder="1" applyAlignment="1" applyProtection="1">
      <alignment vertical="top" wrapText="1"/>
      <protection hidden="1"/>
    </xf>
    <xf numFmtId="164" fontId="5" fillId="9" borderId="1" xfId="0" applyNumberFormat="1" applyFont="1" applyFill="1" applyBorder="1" applyAlignment="1" applyProtection="1">
      <alignment vertical="top" wrapText="1"/>
      <protection hidden="1"/>
    </xf>
    <xf numFmtId="164" fontId="5" fillId="9" borderId="1" xfId="0" applyNumberFormat="1" applyFont="1" applyFill="1" applyBorder="1" applyAlignment="1" applyProtection="1">
      <alignment horizontal="justify" vertical="center" wrapText="1"/>
      <protection hidden="1"/>
    </xf>
    <xf numFmtId="164" fontId="5" fillId="9" borderId="3" xfId="0" applyNumberFormat="1" applyFont="1" applyFill="1" applyBorder="1" applyAlignment="1" applyProtection="1">
      <alignment vertical="top" wrapText="1"/>
      <protection hidden="1"/>
    </xf>
    <xf numFmtId="0" fontId="5" fillId="9" borderId="1" xfId="0" applyFont="1" applyFill="1" applyBorder="1" applyAlignment="1" applyProtection="1">
      <alignment vertical="top"/>
      <protection hidden="1"/>
    </xf>
    <xf numFmtId="0" fontId="0" fillId="9" borderId="1" xfId="0" applyFill="1" applyBorder="1" applyAlignment="1" applyProtection="1">
      <alignment vertical="top"/>
      <protection hidden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Alignment="1">
      <alignment horizontal="justify"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top" wrapText="1"/>
    </xf>
    <xf numFmtId="2" fontId="38" fillId="0" borderId="1" xfId="0" applyNumberFormat="1" applyFont="1" applyFill="1" applyBorder="1"/>
    <xf numFmtId="2" fontId="2" fillId="0" borderId="1" xfId="0" applyNumberFormat="1" applyFont="1" applyFill="1" applyBorder="1"/>
    <xf numFmtId="2" fontId="38" fillId="0" borderId="1" xfId="0" applyNumberFormat="1" applyFont="1" applyFill="1" applyBorder="1" applyAlignment="1">
      <alignment horizontal="center"/>
    </xf>
    <xf numFmtId="0" fontId="0" fillId="9" borderId="0" xfId="0" applyFill="1"/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49" fontId="7" fillId="0" borderId="1" xfId="1" applyNumberFormat="1" applyFont="1" applyFill="1" applyBorder="1" applyAlignment="1" applyProtection="1">
      <alignment wrapText="1"/>
      <protection hidden="1"/>
    </xf>
    <xf numFmtId="0" fontId="2" fillId="5" borderId="0" xfId="0" applyFont="1" applyFill="1"/>
    <xf numFmtId="0" fontId="6" fillId="5" borderId="1" xfId="0" applyFont="1" applyFill="1" applyBorder="1" applyAlignment="1" applyProtection="1">
      <alignment vertical="top" wrapText="1"/>
      <protection hidden="1"/>
    </xf>
    <xf numFmtId="0" fontId="43" fillId="0" borderId="1" xfId="0" applyFont="1" applyFill="1" applyBorder="1" applyAlignment="1" applyProtection="1">
      <alignment vertical="top" wrapText="1"/>
      <protection hidden="1"/>
    </xf>
    <xf numFmtId="0" fontId="45" fillId="0" borderId="0" xfId="0" applyFont="1" applyAlignment="1">
      <alignment wrapText="1"/>
    </xf>
    <xf numFmtId="0" fontId="45" fillId="0" borderId="0" xfId="0" applyFont="1"/>
    <xf numFmtId="164" fontId="47" fillId="0" borderId="1" xfId="1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43" fillId="0" borderId="1" xfId="0" applyFont="1" applyFill="1" applyBorder="1" applyAlignment="1" applyProtection="1">
      <alignment horizontal="center" vertical="top" wrapText="1"/>
      <protection hidden="1"/>
    </xf>
    <xf numFmtId="164" fontId="44" fillId="0" borderId="1" xfId="1" applyFont="1" applyFill="1" applyBorder="1" applyAlignment="1" applyProtection="1">
      <alignment vertical="center" wrapText="1"/>
      <protection hidden="1"/>
    </xf>
    <xf numFmtId="0" fontId="28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48" fillId="0" borderId="1" xfId="0" applyFont="1" applyBorder="1" applyAlignment="1" applyProtection="1">
      <alignment horizontal="center" vertical="top" wrapText="1"/>
      <protection hidden="1"/>
    </xf>
    <xf numFmtId="0" fontId="48" fillId="0" borderId="1" xfId="0" applyFont="1" applyFill="1" applyBorder="1" applyAlignment="1" applyProtection="1">
      <alignment vertical="top" wrapText="1"/>
      <protection hidden="1"/>
    </xf>
    <xf numFmtId="0" fontId="48" fillId="0" borderId="1" xfId="0" applyNumberFormat="1" applyFont="1" applyBorder="1" applyAlignment="1" applyProtection="1">
      <alignment horizontal="center" vertical="center" wrapText="1"/>
      <protection hidden="1"/>
    </xf>
    <xf numFmtId="164" fontId="49" fillId="0" borderId="1" xfId="1" applyFont="1" applyBorder="1" applyAlignment="1" applyProtection="1">
      <alignment vertical="center" wrapText="1"/>
      <protection hidden="1"/>
    </xf>
    <xf numFmtId="0" fontId="50" fillId="0" borderId="0" xfId="0" applyFont="1"/>
    <xf numFmtId="0" fontId="48" fillId="0" borderId="1" xfId="0" applyFont="1" applyFill="1" applyBorder="1" applyAlignment="1" applyProtection="1">
      <alignment horizontal="center" vertical="top" wrapText="1"/>
      <protection hidden="1"/>
    </xf>
    <xf numFmtId="164" fontId="49" fillId="0" borderId="1" xfId="1" applyFont="1" applyFill="1" applyBorder="1" applyAlignment="1" applyProtection="1">
      <alignment vertical="center" wrapText="1"/>
      <protection hidden="1"/>
    </xf>
    <xf numFmtId="0" fontId="48" fillId="0" borderId="1" xfId="0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/>
    <xf numFmtId="0" fontId="6" fillId="0" borderId="1" xfId="0" applyFont="1" applyFill="1" applyBorder="1" applyAlignment="1" applyProtection="1">
      <alignment horizontal="center" vertical="top" wrapText="1"/>
      <protection hidden="1"/>
    </xf>
    <xf numFmtId="164" fontId="7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0" fontId="22" fillId="4" borderId="1" xfId="0" applyFont="1" applyFill="1" applyBorder="1" applyAlignment="1">
      <alignment vertical="center" wrapText="1"/>
    </xf>
    <xf numFmtId="49" fontId="7" fillId="0" borderId="1" xfId="1" applyNumberFormat="1" applyFont="1" applyFill="1" applyBorder="1" applyAlignment="1" applyProtection="1">
      <alignment horizontal="center" vertical="top" wrapText="1"/>
      <protection hidden="1"/>
    </xf>
    <xf numFmtId="0" fontId="51" fillId="0" borderId="0" xfId="0" applyFont="1"/>
    <xf numFmtId="164" fontId="31" fillId="3" borderId="1" xfId="0" applyNumberFormat="1" applyFont="1" applyFill="1" applyBorder="1" applyAlignment="1" applyProtection="1">
      <alignment vertical="top" wrapText="1"/>
      <protection hidden="1"/>
    </xf>
    <xf numFmtId="0" fontId="22" fillId="0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 applyProtection="1">
      <alignment vertical="top" wrapText="1"/>
      <protection hidden="1"/>
    </xf>
    <xf numFmtId="0" fontId="5" fillId="9" borderId="1" xfId="0" applyFont="1" applyFill="1" applyBorder="1" applyAlignment="1" applyProtection="1">
      <alignment horizontal="center" vertical="top" wrapText="1"/>
      <protection hidden="1"/>
    </xf>
    <xf numFmtId="0" fontId="2" fillId="9" borderId="1" xfId="0" applyFont="1" applyFill="1" applyBorder="1" applyAlignment="1" applyProtection="1">
      <alignment horizontal="center" vertical="top" wrapText="1"/>
      <protection hidden="1"/>
    </xf>
    <xf numFmtId="164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1" xfId="0" applyNumberFormat="1" applyFont="1" applyBorder="1" applyAlignment="1">
      <alignment horizontal="center" vertical="center"/>
    </xf>
    <xf numFmtId="2" fontId="38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1" fillId="9" borderId="1" xfId="0" applyFont="1" applyFill="1" applyBorder="1" applyAlignment="1" applyProtection="1">
      <protection hidden="1"/>
    </xf>
    <xf numFmtId="0" fontId="51" fillId="9" borderId="1" xfId="0" applyNumberFormat="1" applyFont="1" applyFill="1" applyBorder="1" applyAlignment="1" applyProtection="1">
      <protection hidden="1"/>
    </xf>
    <xf numFmtId="164" fontId="6" fillId="9" borderId="1" xfId="0" applyNumberFormat="1" applyFont="1" applyFill="1" applyBorder="1" applyAlignment="1" applyProtection="1"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9" borderId="1" xfId="0" applyNumberFormat="1" applyFont="1" applyFill="1" applyBorder="1" applyAlignment="1" applyProtection="1">
      <alignment vertical="top" wrapText="1"/>
      <protection hidden="1"/>
    </xf>
    <xf numFmtId="164" fontId="6" fillId="9" borderId="1" xfId="0" applyNumberFormat="1" applyFont="1" applyFill="1" applyBorder="1" applyAlignment="1" applyProtection="1">
      <alignment vertical="top" wrapText="1"/>
      <protection hidden="1"/>
    </xf>
    <xf numFmtId="164" fontId="0" fillId="9" borderId="1" xfId="0" applyNumberFormat="1" applyFill="1" applyBorder="1"/>
    <xf numFmtId="0" fontId="45" fillId="0" borderId="0" xfId="0" applyFont="1" applyFill="1"/>
    <xf numFmtId="0" fontId="52" fillId="0" borderId="1" xfId="0" applyFont="1" applyFill="1" applyBorder="1" applyAlignment="1" applyProtection="1">
      <alignment horizontal="center" vertical="center" wrapText="1"/>
      <protection hidden="1"/>
    </xf>
    <xf numFmtId="164" fontId="54" fillId="0" borderId="1" xfId="1" applyFont="1" applyFill="1" applyBorder="1" applyAlignment="1" applyProtection="1">
      <alignment vertical="center" wrapText="1"/>
      <protection hidden="1"/>
    </xf>
    <xf numFmtId="0" fontId="52" fillId="0" borderId="1" xfId="0" applyFont="1" applyFill="1" applyBorder="1" applyAlignment="1" applyProtection="1">
      <alignment vertical="top" wrapText="1"/>
      <protection hidden="1"/>
    </xf>
    <xf numFmtId="0" fontId="52" fillId="0" borderId="1" xfId="0" applyFont="1" applyFill="1" applyBorder="1" applyAlignment="1" applyProtection="1">
      <alignment horizontal="center" vertical="top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51" fillId="9" borderId="1" xfId="0" applyFont="1" applyFill="1" applyBorder="1" applyAlignment="1" applyProtection="1">
      <alignment vertical="top" wrapText="1"/>
      <protection hidden="1"/>
    </xf>
    <xf numFmtId="0" fontId="0" fillId="9" borderId="1" xfId="0" applyFont="1" applyFill="1" applyBorder="1" applyAlignment="1" applyProtection="1">
      <alignment vertical="top" wrapText="1"/>
      <protection hidden="1"/>
    </xf>
    <xf numFmtId="164" fontId="51" fillId="9" borderId="1" xfId="0" applyNumberFormat="1" applyFont="1" applyFill="1" applyBorder="1" applyAlignment="1" applyProtection="1">
      <alignment horizontal="justify" vertical="center" wrapText="1"/>
      <protection hidden="1"/>
    </xf>
    <xf numFmtId="49" fontId="54" fillId="0" borderId="1" xfId="1" applyNumberFormat="1" applyFont="1" applyFill="1" applyBorder="1" applyAlignment="1" applyProtection="1">
      <alignment wrapText="1"/>
      <protection hidden="1"/>
    </xf>
    <xf numFmtId="49" fontId="54" fillId="0" borderId="1" xfId="1" applyNumberFormat="1" applyFont="1" applyFill="1" applyBorder="1" applyAlignment="1" applyProtection="1">
      <alignment horizontal="center" wrapText="1"/>
      <protection hidden="1"/>
    </xf>
    <xf numFmtId="0" fontId="51" fillId="9" borderId="2" xfId="0" applyFont="1" applyFill="1" applyBorder="1" applyAlignment="1" applyProtection="1">
      <alignment vertical="top" wrapText="1"/>
      <protection hidden="1"/>
    </xf>
    <xf numFmtId="0" fontId="51" fillId="9" borderId="3" xfId="0" applyFont="1" applyFill="1" applyBorder="1" applyAlignment="1" applyProtection="1">
      <alignment vertical="top" wrapText="1"/>
      <protection hidden="1"/>
    </xf>
    <xf numFmtId="0" fontId="51" fillId="9" borderId="4" xfId="0" applyFont="1" applyFill="1" applyBorder="1" applyAlignment="1" applyProtection="1">
      <alignment vertical="top" wrapText="1"/>
      <protection hidden="1"/>
    </xf>
    <xf numFmtId="164" fontId="51" fillId="9" borderId="1" xfId="0" applyNumberFormat="1" applyFont="1" applyFill="1" applyBorder="1" applyAlignment="1" applyProtection="1">
      <alignment vertical="top" wrapText="1"/>
      <protection hidden="1"/>
    </xf>
    <xf numFmtId="2" fontId="55" fillId="0" borderId="12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/>
    </xf>
    <xf numFmtId="2" fontId="55" fillId="0" borderId="15" xfId="0" applyNumberFormat="1" applyFont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/>
    </xf>
    <xf numFmtId="0" fontId="39" fillId="4" borderId="1" xfId="0" applyFont="1" applyFill="1" applyBorder="1" applyAlignment="1">
      <alignment vertical="center" wrapText="1"/>
    </xf>
    <xf numFmtId="0" fontId="57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39" fillId="4" borderId="1" xfId="0" applyFont="1" applyFill="1" applyBorder="1" applyAlignment="1">
      <alignment horizontal="left" vertical="top" wrapText="1"/>
    </xf>
    <xf numFmtId="2" fontId="0" fillId="0" borderId="1" xfId="0" applyNumberFormat="1" applyFont="1" applyBorder="1"/>
    <xf numFmtId="0" fontId="39" fillId="5" borderId="1" xfId="0" applyFont="1" applyFill="1" applyBorder="1" applyAlignment="1">
      <alignment horizontal="left" vertical="top" wrapText="1"/>
    </xf>
    <xf numFmtId="2" fontId="0" fillId="5" borderId="1" xfId="0" applyNumberFormat="1" applyFont="1" applyFill="1" applyBorder="1"/>
    <xf numFmtId="2" fontId="0" fillId="0" borderId="1" xfId="0" applyNumberFormat="1" applyFont="1" applyBorder="1" applyAlignment="1">
      <alignment horizontal="center"/>
    </xf>
    <xf numFmtId="16" fontId="0" fillId="0" borderId="0" xfId="0" applyNumberFormat="1" applyFill="1" applyAlignment="1">
      <alignment wrapText="1"/>
    </xf>
    <xf numFmtId="16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3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37" fillId="4" borderId="2" xfId="0" applyFont="1" applyFill="1" applyBorder="1" applyAlignment="1">
      <alignment horizontal="center" vertical="top"/>
    </xf>
    <xf numFmtId="0" fontId="37" fillId="4" borderId="4" xfId="0" applyFont="1" applyFill="1" applyBorder="1" applyAlignment="1">
      <alignment horizontal="center" vertical="top"/>
    </xf>
    <xf numFmtId="0" fontId="37" fillId="4" borderId="2" xfId="0" applyFont="1" applyFill="1" applyBorder="1" applyAlignment="1">
      <alignment horizontal="center" vertical="top" wrapText="1"/>
    </xf>
    <xf numFmtId="0" fontId="37" fillId="4" borderId="4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top" wrapText="1"/>
    </xf>
    <xf numFmtId="0" fontId="37" fillId="5" borderId="4" xfId="0" applyFont="1" applyFill="1" applyBorder="1" applyAlignment="1">
      <alignment horizontal="center" vertical="top" wrapText="1"/>
    </xf>
    <xf numFmtId="49" fontId="18" fillId="7" borderId="16" xfId="0" applyNumberFormat="1" applyFont="1" applyFill="1" applyBorder="1" applyAlignment="1">
      <alignment horizontal="center" vertical="center" wrapText="1"/>
    </xf>
    <xf numFmtId="49" fontId="18" fillId="7" borderId="1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3" fillId="0" borderId="3" xfId="0" applyFont="1" applyFill="1" applyBorder="1" applyAlignment="1" applyProtection="1">
      <alignment horizontal="center" vertical="top" wrapText="1"/>
      <protection hidden="1"/>
    </xf>
    <xf numFmtId="0" fontId="53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2" fontId="19" fillId="0" borderId="25" xfId="0" applyNumberFormat="1" applyFont="1" applyBorder="1" applyAlignment="1">
      <alignment horizontal="center" vertical="center" wrapText="1"/>
    </xf>
    <xf numFmtId="2" fontId="19" fillId="0" borderId="27" xfId="0" applyNumberFormat="1" applyFont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49" fontId="18" fillId="7" borderId="7" xfId="0" applyNumberFormat="1" applyFont="1" applyFill="1" applyBorder="1" applyAlignment="1">
      <alignment horizontal="center" vertical="center" wrapText="1"/>
    </xf>
    <xf numFmtId="49" fontId="18" fillId="7" borderId="8" xfId="0" applyNumberFormat="1" applyFont="1" applyFill="1" applyBorder="1" applyAlignment="1">
      <alignment horizontal="center" vertical="center" wrapText="1"/>
    </xf>
    <xf numFmtId="49" fontId="18" fillId="7" borderId="21" xfId="0" applyNumberFormat="1" applyFont="1" applyFill="1" applyBorder="1" applyAlignment="1">
      <alignment horizontal="center" vertical="center" wrapText="1"/>
    </xf>
    <xf numFmtId="49" fontId="18" fillId="7" borderId="24" xfId="0" applyNumberFormat="1" applyFont="1" applyFill="1" applyBorder="1" applyAlignment="1">
      <alignment horizontal="center" vertical="center" wrapText="1"/>
    </xf>
    <xf numFmtId="49" fontId="18" fillId="7" borderId="0" xfId="0" applyNumberFormat="1" applyFont="1" applyFill="1" applyBorder="1" applyAlignment="1">
      <alignment horizontal="center" vertical="center" wrapText="1"/>
    </xf>
    <xf numFmtId="49" fontId="18" fillId="7" borderId="15" xfId="0" applyNumberFormat="1" applyFont="1" applyFill="1" applyBorder="1" applyAlignment="1">
      <alignment horizontal="center" vertical="center" wrapText="1"/>
    </xf>
    <xf numFmtId="49" fontId="18" fillId="7" borderId="13" xfId="0" applyNumberFormat="1" applyFont="1" applyFill="1" applyBorder="1" applyAlignment="1">
      <alignment horizontal="center" vertical="center" wrapText="1"/>
    </xf>
    <xf numFmtId="49" fontId="18" fillId="7" borderId="14" xfId="0" applyNumberFormat="1" applyFont="1" applyFill="1" applyBorder="1" applyAlignment="1">
      <alignment horizontal="center" vertical="center" wrapText="1"/>
    </xf>
    <xf numFmtId="49" fontId="18" fillId="7" borderId="22" xfId="0" applyNumberFormat="1" applyFont="1" applyFill="1" applyBorder="1" applyAlignment="1">
      <alignment horizontal="center" vertical="center" wrapText="1"/>
    </xf>
    <xf numFmtId="2" fontId="19" fillId="0" borderId="25" xfId="0" applyNumberFormat="1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27" fillId="0" borderId="3" xfId="0" applyFont="1" applyBorder="1" applyAlignment="1" applyProtection="1">
      <alignment horizontal="center" vertical="top" wrapText="1"/>
      <protection hidden="1"/>
    </xf>
    <xf numFmtId="0" fontId="27" fillId="0" borderId="4" xfId="0" applyFont="1" applyBorder="1" applyAlignment="1" applyProtection="1">
      <alignment horizontal="center" vertical="top" wrapText="1"/>
      <protection hidden="1"/>
    </xf>
    <xf numFmtId="49" fontId="32" fillId="7" borderId="7" xfId="0" applyNumberFormat="1" applyFont="1" applyFill="1" applyBorder="1" applyAlignment="1">
      <alignment horizontal="center" vertical="center" wrapText="1"/>
    </xf>
    <xf numFmtId="49" fontId="32" fillId="7" borderId="8" xfId="0" applyNumberFormat="1" applyFont="1" applyFill="1" applyBorder="1" applyAlignment="1">
      <alignment horizontal="center" vertical="center" wrapText="1"/>
    </xf>
    <xf numFmtId="49" fontId="32" fillId="7" borderId="13" xfId="0" applyNumberFormat="1" applyFont="1" applyFill="1" applyBorder="1" applyAlignment="1">
      <alignment horizontal="center" vertical="center" wrapText="1"/>
    </xf>
    <xf numFmtId="49" fontId="32" fillId="7" borderId="14" xfId="0" applyNumberFormat="1" applyFont="1" applyFill="1" applyBorder="1" applyAlignment="1">
      <alignment horizontal="center" vertical="center" wrapText="1"/>
    </xf>
    <xf numFmtId="2" fontId="33" fillId="0" borderId="9" xfId="0" applyNumberFormat="1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49" fontId="32" fillId="7" borderId="16" xfId="0" applyNumberFormat="1" applyFont="1" applyFill="1" applyBorder="1" applyAlignment="1">
      <alignment horizontal="center" vertical="center" wrapText="1"/>
    </xf>
    <xf numFmtId="49" fontId="32" fillId="7" borderId="17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  <protection hidden="1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0" fontId="25" fillId="2" borderId="4" xfId="0" applyFont="1" applyFill="1" applyBorder="1" applyAlignment="1" applyProtection="1">
      <alignment horizontal="center" vertical="center" wrapText="1"/>
      <protection hidden="1"/>
    </xf>
    <xf numFmtId="0" fontId="25" fillId="2" borderId="5" xfId="0" applyFont="1" applyFill="1" applyBorder="1" applyAlignment="1" applyProtection="1">
      <alignment horizontal="center" vertical="center" wrapText="1"/>
      <protection hidden="1"/>
    </xf>
    <xf numFmtId="0" fontId="25" fillId="2" borderId="6" xfId="0" applyFont="1" applyFill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 applyProtection="1">
      <alignment vertical="center" wrapText="1"/>
      <protection hidden="1"/>
    </xf>
    <xf numFmtId="0" fontId="25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6" xfId="0" applyNumberFormat="1" applyFont="1" applyBorder="1" applyAlignment="1" applyProtection="1">
      <alignment horizontal="center" vertical="center" wrapText="1"/>
      <protection hidden="1"/>
    </xf>
    <xf numFmtId="0" fontId="37" fillId="0" borderId="2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center" vertical="top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39" fillId="4" borderId="2" xfId="0" applyFont="1" applyFill="1" applyBorder="1" applyAlignment="1">
      <alignment horizontal="center" vertical="top" wrapText="1"/>
    </xf>
    <xf numFmtId="0" fontId="39" fillId="4" borderId="4" xfId="0" applyFont="1" applyFill="1" applyBorder="1" applyAlignment="1">
      <alignment horizontal="center" vertical="top" wrapText="1"/>
    </xf>
    <xf numFmtId="0" fontId="39" fillId="5" borderId="2" xfId="0" applyFont="1" applyFill="1" applyBorder="1" applyAlignment="1">
      <alignment horizontal="center" vertical="top" wrapText="1"/>
    </xf>
    <xf numFmtId="0" fontId="39" fillId="5" borderId="4" xfId="0" applyFont="1" applyFill="1" applyBorder="1" applyAlignment="1">
      <alignment horizontal="center" vertical="top" wrapText="1"/>
    </xf>
    <xf numFmtId="0" fontId="39" fillId="4" borderId="2" xfId="0" applyFont="1" applyFill="1" applyBorder="1" applyAlignment="1">
      <alignment horizontal="center" vertical="top"/>
    </xf>
    <xf numFmtId="0" fontId="39" fillId="4" borderId="4" xfId="0" applyFont="1" applyFill="1" applyBorder="1" applyAlignment="1">
      <alignment horizontal="center" vertical="top"/>
    </xf>
    <xf numFmtId="0" fontId="40" fillId="0" borderId="18" xfId="0" applyFont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55" fillId="0" borderId="9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0" fontId="51" fillId="0" borderId="3" xfId="0" applyFont="1" applyFill="1" applyBorder="1" applyAlignment="1" applyProtection="1">
      <alignment horizontal="center" vertical="top" wrapText="1"/>
      <protection hidden="1"/>
    </xf>
    <xf numFmtId="0" fontId="51" fillId="0" borderId="4" xfId="0" applyFont="1" applyFill="1" applyBorder="1" applyAlignment="1" applyProtection="1">
      <alignment horizontal="center" vertical="top" wrapText="1"/>
      <protection hidden="1"/>
    </xf>
    <xf numFmtId="0" fontId="51" fillId="0" borderId="3" xfId="0" applyFont="1" applyBorder="1" applyAlignment="1" applyProtection="1">
      <alignment horizontal="center" vertical="top" wrapText="1"/>
      <protection hidden="1"/>
    </xf>
    <xf numFmtId="0" fontId="51" fillId="0" borderId="4" xfId="0" applyFont="1" applyBorder="1" applyAlignment="1" applyProtection="1">
      <alignment horizontal="center" vertical="top" wrapText="1"/>
      <protection hidden="1"/>
    </xf>
    <xf numFmtId="0" fontId="45" fillId="0" borderId="6" xfId="0" applyFont="1" applyBorder="1" applyAlignment="1" applyProtection="1">
      <alignment vertical="center" wrapText="1"/>
      <protection hidden="1"/>
    </xf>
    <xf numFmtId="0" fontId="45" fillId="0" borderId="6" xfId="0" applyFont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0" fontId="22" fillId="4" borderId="0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O22"/>
  <sheetViews>
    <sheetView view="pageBreakPreview" zoomScale="70" zoomScaleNormal="70" zoomScaleSheetLayoutView="70" workbookViewId="0">
      <selection activeCell="A16" sqref="A16:O16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3" width="8.85546875" style="1"/>
    <col min="4" max="4" width="8.85546875" style="1" customWidth="1"/>
    <col min="5" max="6" width="8.85546875" style="1"/>
    <col min="7" max="7" width="12.7109375" style="1" bestFit="1" customWidth="1"/>
    <col min="8" max="16384" width="8.85546875" style="1"/>
  </cols>
  <sheetData>
    <row r="1" spans="1:15" ht="15.75" x14ac:dyDescent="0.25">
      <c r="A1" s="215" t="s">
        <v>130</v>
      </c>
      <c r="B1" s="215"/>
      <c r="J1" s="215" t="s">
        <v>131</v>
      </c>
      <c r="K1" s="215"/>
      <c r="L1" s="215"/>
      <c r="M1" s="215"/>
      <c r="N1" s="215"/>
      <c r="O1" s="215"/>
    </row>
    <row r="2" spans="1:15" ht="15.75" x14ac:dyDescent="0.25">
      <c r="A2" s="216" t="s">
        <v>132</v>
      </c>
      <c r="B2" s="216"/>
      <c r="C2" s="216"/>
      <c r="I2" s="217" t="s">
        <v>132</v>
      </c>
      <c r="J2" s="217"/>
      <c r="K2" s="217"/>
      <c r="L2" s="217"/>
      <c r="M2" s="217"/>
      <c r="N2" s="217"/>
      <c r="O2" s="217"/>
    </row>
    <row r="5" spans="1:15" ht="32.25" x14ac:dyDescent="0.5">
      <c r="A5" s="218" t="s">
        <v>111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7" spans="1:15" ht="21" x14ac:dyDescent="0.35">
      <c r="A7" s="213" t="s">
        <v>133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</row>
    <row r="8" spans="1:15" ht="21" x14ac:dyDescent="0.35">
      <c r="A8" s="213" t="s">
        <v>35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5" ht="21" x14ac:dyDescent="0.35">
      <c r="A9" s="213" t="s">
        <v>22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</row>
    <row r="10" spans="1:15" ht="21" x14ac:dyDescent="0.35">
      <c r="A10" s="213" t="s">
        <v>34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</row>
    <row r="11" spans="1:15" ht="21" x14ac:dyDescent="0.35">
      <c r="A11" s="213" t="s">
        <v>33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15" ht="21" x14ac:dyDescent="0.3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</row>
    <row r="13" spans="1:15" ht="21" x14ac:dyDescent="0.3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1" x14ac:dyDescent="0.3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" x14ac:dyDescent="0.35">
      <c r="A15" s="211" t="s">
        <v>26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21" x14ac:dyDescent="0.35">
      <c r="A16" s="211" t="s">
        <v>32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21" x14ac:dyDescent="0.35">
      <c r="A17" s="211" t="s">
        <v>23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</row>
    <row r="18" spans="1:15" ht="21" x14ac:dyDescent="0.35">
      <c r="A18" s="211" t="s">
        <v>24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</row>
    <row r="19" spans="1:15" ht="21" x14ac:dyDescent="0.3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1" x14ac:dyDescent="0.35">
      <c r="A20" s="211" t="s">
        <v>25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</row>
    <row r="21" spans="1:15" ht="21" x14ac:dyDescent="0.35">
      <c r="A21" s="211" t="s">
        <v>31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</row>
    <row r="22" spans="1:15" ht="18.75" x14ac:dyDescent="0.3">
      <c r="A22" s="2"/>
    </row>
  </sheetData>
  <sheetProtection selectLockedCells="1" selectUnlockedCells="1"/>
  <mergeCells count="17">
    <mergeCell ref="J1:O1"/>
    <mergeCell ref="A1:B1"/>
    <mergeCell ref="A2:C2"/>
    <mergeCell ref="I2:O2"/>
    <mergeCell ref="A10:O10"/>
    <mergeCell ref="A5:O5"/>
    <mergeCell ref="A7:O7"/>
    <mergeCell ref="A8:O8"/>
    <mergeCell ref="A9:O9"/>
    <mergeCell ref="A20:O20"/>
    <mergeCell ref="A21:O21"/>
    <mergeCell ref="A11:O11"/>
    <mergeCell ref="A12:O12"/>
    <mergeCell ref="A15:O15"/>
    <mergeCell ref="A16:O16"/>
    <mergeCell ref="A17:O17"/>
    <mergeCell ref="A18:O1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O59"/>
  <sheetViews>
    <sheetView view="pageBreakPreview" zoomScale="80" zoomScaleSheetLayoutView="80" workbookViewId="0">
      <selection activeCell="D21" sqref="D21:O21"/>
    </sheetView>
  </sheetViews>
  <sheetFormatPr defaultRowHeight="15" x14ac:dyDescent="0.25"/>
  <cols>
    <col min="1" max="1" width="12.140625" customWidth="1"/>
    <col min="2" max="2" width="38.5703125" bestFit="1" customWidth="1"/>
    <col min="7" max="7" width="10.28515625" customWidth="1"/>
    <col min="8" max="8" width="11.42578125" customWidth="1"/>
    <col min="9" max="9" width="11.140625" customWidth="1"/>
    <col min="12" max="12" width="10.140625" bestFit="1" customWidth="1"/>
    <col min="13" max="13" width="9.28515625" customWidth="1"/>
  </cols>
  <sheetData>
    <row r="1" spans="1:15" ht="15.75" x14ac:dyDescent="0.25">
      <c r="A1" s="13" t="s">
        <v>37</v>
      </c>
      <c r="B1" s="12" t="s">
        <v>47</v>
      </c>
    </row>
    <row r="2" spans="1:15" ht="15.75" x14ac:dyDescent="0.25">
      <c r="A2" s="13" t="s">
        <v>39</v>
      </c>
      <c r="B2" s="12" t="s">
        <v>56</v>
      </c>
    </row>
    <row r="3" spans="1:15" ht="15.75" x14ac:dyDescent="0.25">
      <c r="A3" s="13" t="s">
        <v>41</v>
      </c>
      <c r="B3" s="12" t="s">
        <v>42</v>
      </c>
    </row>
    <row r="4" spans="1:15" ht="63" x14ac:dyDescent="0.25">
      <c r="A4" s="13" t="s">
        <v>43</v>
      </c>
      <c r="B4" s="12" t="s">
        <v>129</v>
      </c>
    </row>
    <row r="5" spans="1:15" ht="15.75" x14ac:dyDescent="0.25">
      <c r="A5" s="324" t="s">
        <v>27</v>
      </c>
      <c r="B5" s="324" t="s">
        <v>18</v>
      </c>
      <c r="C5" s="324" t="s">
        <v>21</v>
      </c>
      <c r="D5" s="321" t="s">
        <v>30</v>
      </c>
      <c r="E5" s="322"/>
      <c r="F5" s="323"/>
      <c r="G5" s="324" t="s">
        <v>0</v>
      </c>
      <c r="H5" s="321" t="s">
        <v>29</v>
      </c>
      <c r="I5" s="322"/>
      <c r="J5" s="322"/>
      <c r="K5" s="323"/>
      <c r="L5" s="321" t="s">
        <v>28</v>
      </c>
      <c r="M5" s="322"/>
      <c r="N5" s="322"/>
      <c r="O5" s="323"/>
    </row>
    <row r="6" spans="1:15" ht="15.75" x14ac:dyDescent="0.25">
      <c r="A6" s="325"/>
      <c r="B6" s="326"/>
      <c r="C6" s="327"/>
      <c r="D6" s="7" t="s">
        <v>1</v>
      </c>
      <c r="E6" s="7" t="s">
        <v>2</v>
      </c>
      <c r="F6" s="7" t="s">
        <v>3</v>
      </c>
      <c r="G6" s="325"/>
      <c r="H6" s="7" t="s">
        <v>17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10</v>
      </c>
    </row>
    <row r="7" spans="1:15" s="30" customFormat="1" ht="16.149999999999999" customHeight="1" x14ac:dyDescent="0.2">
      <c r="A7" s="352" t="s">
        <v>36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</row>
    <row r="8" spans="1:15" s="14" customFormat="1" x14ac:dyDescent="0.25">
      <c r="A8" s="158">
        <v>59</v>
      </c>
      <c r="B8" s="9" t="s">
        <v>104</v>
      </c>
      <c r="C8" s="158">
        <v>100</v>
      </c>
      <c r="D8" s="16">
        <v>1.06</v>
      </c>
      <c r="E8" s="16">
        <v>0.17</v>
      </c>
      <c r="F8" s="16">
        <v>8.52</v>
      </c>
      <c r="G8" s="16">
        <v>39.9</v>
      </c>
      <c r="H8" s="16">
        <v>5.0000000000000001E-3</v>
      </c>
      <c r="I8" s="16">
        <v>4.38</v>
      </c>
      <c r="J8" s="16"/>
      <c r="K8" s="16">
        <v>0.35</v>
      </c>
      <c r="L8" s="16">
        <v>23.99</v>
      </c>
      <c r="M8" s="16">
        <v>44.53</v>
      </c>
      <c r="N8" s="16">
        <v>30.39</v>
      </c>
      <c r="O8" s="16">
        <v>1.07</v>
      </c>
    </row>
    <row r="9" spans="1:15" s="30" customFormat="1" ht="25.5" x14ac:dyDescent="0.2">
      <c r="A9" s="158">
        <v>88</v>
      </c>
      <c r="B9" s="9" t="s">
        <v>112</v>
      </c>
      <c r="C9" s="142">
        <v>250</v>
      </c>
      <c r="D9" s="16">
        <v>2.57</v>
      </c>
      <c r="E9" s="16">
        <v>5.15</v>
      </c>
      <c r="F9" s="16">
        <v>7.9</v>
      </c>
      <c r="G9" s="16">
        <v>124.75</v>
      </c>
      <c r="H9" s="16">
        <v>6.0000000000000001E-3</v>
      </c>
      <c r="I9" s="16">
        <v>15.78</v>
      </c>
      <c r="J9" s="16"/>
      <c r="K9" s="16">
        <v>2.35</v>
      </c>
      <c r="L9" s="16">
        <v>51.25</v>
      </c>
      <c r="M9" s="16">
        <v>49</v>
      </c>
      <c r="N9" s="16">
        <v>22.13</v>
      </c>
      <c r="O9" s="16">
        <v>0.83</v>
      </c>
    </row>
    <row r="10" spans="1:15" s="29" customFormat="1" ht="12.75" x14ac:dyDescent="0.2">
      <c r="A10" s="158">
        <v>302</v>
      </c>
      <c r="B10" s="9" t="s">
        <v>16</v>
      </c>
      <c r="C10" s="158">
        <v>150</v>
      </c>
      <c r="D10" s="16">
        <v>8.6</v>
      </c>
      <c r="E10" s="16">
        <v>6.09</v>
      </c>
      <c r="F10" s="16">
        <v>38.64</v>
      </c>
      <c r="G10" s="16">
        <v>243.75</v>
      </c>
      <c r="H10" s="16">
        <v>0.21</v>
      </c>
      <c r="I10" s="16"/>
      <c r="J10" s="16"/>
      <c r="K10" s="16">
        <v>0.61</v>
      </c>
      <c r="L10" s="16">
        <v>14.82</v>
      </c>
      <c r="M10" s="16">
        <v>203.93</v>
      </c>
      <c r="N10" s="16">
        <v>135.83000000000001</v>
      </c>
      <c r="O10" s="16">
        <v>4.5599999999999996</v>
      </c>
    </row>
    <row r="11" spans="1:15" s="14" customFormat="1" ht="25.5" x14ac:dyDescent="0.25">
      <c r="A11" s="158">
        <v>246</v>
      </c>
      <c r="B11" s="9" t="s">
        <v>116</v>
      </c>
      <c r="C11" s="103">
        <v>100</v>
      </c>
      <c r="D11" s="104">
        <v>13.36</v>
      </c>
      <c r="E11" s="103">
        <v>14.08</v>
      </c>
      <c r="F11" s="104">
        <v>0.85</v>
      </c>
      <c r="G11" s="103">
        <v>164</v>
      </c>
      <c r="H11" s="104">
        <v>0.01</v>
      </c>
      <c r="I11" s="103">
        <v>1.2</v>
      </c>
      <c r="J11" s="104"/>
      <c r="K11" s="103"/>
      <c r="L11" s="104">
        <v>23.6</v>
      </c>
      <c r="M11" s="103">
        <v>117.03</v>
      </c>
      <c r="N11" s="104">
        <v>20.27</v>
      </c>
      <c r="O11" s="105">
        <v>2</v>
      </c>
    </row>
    <row r="12" spans="1:15" s="14" customFormat="1" x14ac:dyDescent="0.25">
      <c r="A12" s="161">
        <v>342</v>
      </c>
      <c r="B12" s="9" t="s">
        <v>98</v>
      </c>
      <c r="C12" s="158">
        <v>200</v>
      </c>
      <c r="D12" s="16">
        <v>0.16</v>
      </c>
      <c r="E12" s="16">
        <v>0.16</v>
      </c>
      <c r="F12" s="16">
        <v>27.88</v>
      </c>
      <c r="G12" s="16">
        <v>114.6</v>
      </c>
      <c r="H12" s="16">
        <v>0.06</v>
      </c>
      <c r="I12" s="16">
        <v>0.9</v>
      </c>
      <c r="J12" s="16"/>
      <c r="K12" s="16">
        <v>0.08</v>
      </c>
      <c r="L12" s="16">
        <v>14.18</v>
      </c>
      <c r="M12" s="16">
        <v>4.4000000000000004</v>
      </c>
      <c r="N12" s="16">
        <v>5.14</v>
      </c>
      <c r="O12" s="16">
        <v>0.95</v>
      </c>
    </row>
    <row r="13" spans="1:15" s="14" customFormat="1" x14ac:dyDescent="0.25">
      <c r="A13" s="50"/>
      <c r="B13" s="9" t="s">
        <v>14</v>
      </c>
      <c r="C13" s="158">
        <v>40</v>
      </c>
      <c r="D13" s="16">
        <v>2.2400000000000002</v>
      </c>
      <c r="E13" s="16">
        <v>0.88</v>
      </c>
      <c r="F13" s="16">
        <v>19.760000000000002</v>
      </c>
      <c r="G13" s="16">
        <v>91.96</v>
      </c>
      <c r="H13" s="16">
        <v>0.04</v>
      </c>
      <c r="I13" s="16"/>
      <c r="J13" s="16"/>
      <c r="K13" s="16">
        <v>0.36</v>
      </c>
      <c r="L13" s="16">
        <v>9.1999999999999993</v>
      </c>
      <c r="M13" s="16">
        <v>42.4</v>
      </c>
      <c r="N13" s="16">
        <v>10</v>
      </c>
      <c r="O13" s="16">
        <v>1.24</v>
      </c>
    </row>
    <row r="14" spans="1:15" s="14" customFormat="1" x14ac:dyDescent="0.25">
      <c r="A14" s="50"/>
      <c r="B14" s="9"/>
      <c r="C14" s="14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11" customFormat="1" ht="16.149999999999999" customHeight="1" x14ac:dyDescent="0.2">
      <c r="A15" s="107" t="s">
        <v>11</v>
      </c>
      <c r="B15" s="108"/>
      <c r="C15" s="108"/>
      <c r="D15" s="110">
        <f>D14+D13+D12+D11+D10+D9+D8</f>
        <v>27.99</v>
      </c>
      <c r="E15" s="110">
        <f t="shared" ref="E15:O15" si="0">E14+E13+E12+E11+E10+E9+E8</f>
        <v>26.53</v>
      </c>
      <c r="F15" s="110">
        <f t="shared" si="0"/>
        <v>103.55</v>
      </c>
      <c r="G15" s="110">
        <f t="shared" si="0"/>
        <v>778.95999999999992</v>
      </c>
      <c r="H15" s="110">
        <f t="shared" si="0"/>
        <v>0.33100000000000002</v>
      </c>
      <c r="I15" s="110">
        <f t="shared" si="0"/>
        <v>22.259999999999998</v>
      </c>
      <c r="J15" s="110">
        <f t="shared" si="0"/>
        <v>0</v>
      </c>
      <c r="K15" s="110">
        <f t="shared" si="0"/>
        <v>3.7500000000000004</v>
      </c>
      <c r="L15" s="110">
        <f t="shared" si="0"/>
        <v>137.04000000000002</v>
      </c>
      <c r="M15" s="110">
        <f t="shared" si="0"/>
        <v>461.28999999999996</v>
      </c>
      <c r="N15" s="110">
        <f t="shared" si="0"/>
        <v>223.76</v>
      </c>
      <c r="O15" s="110">
        <f t="shared" si="0"/>
        <v>10.65</v>
      </c>
    </row>
    <row r="16" spans="1:15" s="11" customFormat="1" ht="16.149999999999999" customHeight="1" x14ac:dyDescent="0.2">
      <c r="A16" s="237" t="s">
        <v>19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</row>
    <row r="17" spans="1:15" s="46" customFormat="1" ht="12.75" x14ac:dyDescent="0.2">
      <c r="A17" s="45"/>
      <c r="B17" s="35"/>
      <c r="C17" s="45"/>
      <c r="D17" s="118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s="14" customFormat="1" x14ac:dyDescent="0.25">
      <c r="A18" s="160"/>
      <c r="B18" s="9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14" customFormat="1" x14ac:dyDescent="0.25">
      <c r="A19" s="15"/>
      <c r="B19" s="9"/>
      <c r="C19" s="15"/>
      <c r="D19" s="16"/>
      <c r="E19" s="16"/>
      <c r="F19" s="16"/>
      <c r="G19" s="16"/>
      <c r="H19" s="96"/>
      <c r="I19" s="16"/>
      <c r="J19" s="16"/>
      <c r="K19" s="16"/>
      <c r="L19" s="16"/>
      <c r="M19" s="16"/>
      <c r="N19" s="16"/>
      <c r="O19" s="16"/>
    </row>
    <row r="20" spans="1:15" s="30" customFormat="1" ht="16.149999999999999" customHeight="1" x14ac:dyDescent="0.2">
      <c r="A20" s="107" t="s">
        <v>11</v>
      </c>
      <c r="B20" s="107"/>
      <c r="C20" s="107"/>
      <c r="D20" s="110">
        <f>D19+D18+D17</f>
        <v>0</v>
      </c>
      <c r="E20" s="110">
        <f t="shared" ref="E20:O20" si="1">E19+E18+E17</f>
        <v>0</v>
      </c>
      <c r="F20" s="110">
        <f t="shared" si="1"/>
        <v>0</v>
      </c>
      <c r="G20" s="110">
        <f t="shared" si="1"/>
        <v>0</v>
      </c>
      <c r="H20" s="110">
        <f t="shared" si="1"/>
        <v>0</v>
      </c>
      <c r="I20" s="110">
        <f t="shared" si="1"/>
        <v>0</v>
      </c>
      <c r="J20" s="110">
        <f t="shared" si="1"/>
        <v>0</v>
      </c>
      <c r="K20" s="110">
        <f t="shared" si="1"/>
        <v>0</v>
      </c>
      <c r="L20" s="110">
        <f t="shared" si="1"/>
        <v>0</v>
      </c>
      <c r="M20" s="110">
        <f t="shared" si="1"/>
        <v>0</v>
      </c>
      <c r="N20" s="110">
        <f t="shared" si="1"/>
        <v>0</v>
      </c>
      <c r="O20" s="110">
        <f t="shared" si="1"/>
        <v>0</v>
      </c>
    </row>
    <row r="21" spans="1:15" s="11" customFormat="1" ht="16.149999999999999" customHeight="1" x14ac:dyDescent="0.2">
      <c r="A21" s="107" t="s">
        <v>15</v>
      </c>
      <c r="B21" s="108"/>
      <c r="C21" s="108"/>
      <c r="D21" s="109">
        <f>D15+D20</f>
        <v>27.99</v>
      </c>
      <c r="E21" s="109">
        <f t="shared" ref="E21:O21" si="2">E15+E20</f>
        <v>26.53</v>
      </c>
      <c r="F21" s="109">
        <f t="shared" si="2"/>
        <v>103.55</v>
      </c>
      <c r="G21" s="109">
        <f t="shared" si="2"/>
        <v>778.95999999999992</v>
      </c>
      <c r="H21" s="109">
        <f t="shared" si="2"/>
        <v>0.33100000000000002</v>
      </c>
      <c r="I21" s="109">
        <f t="shared" si="2"/>
        <v>22.259999999999998</v>
      </c>
      <c r="J21" s="109">
        <f t="shared" si="2"/>
        <v>0</v>
      </c>
      <c r="K21" s="109">
        <f t="shared" si="2"/>
        <v>3.7500000000000004</v>
      </c>
      <c r="L21" s="109">
        <f t="shared" si="2"/>
        <v>137.04000000000002</v>
      </c>
      <c r="M21" s="109">
        <f t="shared" si="2"/>
        <v>461.28999999999996</v>
      </c>
      <c r="N21" s="109">
        <f t="shared" si="2"/>
        <v>223.76</v>
      </c>
      <c r="O21" s="109">
        <f t="shared" si="2"/>
        <v>10.65</v>
      </c>
    </row>
    <row r="22" spans="1:15" ht="15.75" thickBot="1" x14ac:dyDescent="0.3"/>
    <row r="23" spans="1:15" ht="26.25" thickBot="1" x14ac:dyDescent="0.3">
      <c r="B23" s="253" t="s">
        <v>51</v>
      </c>
      <c r="C23" s="254"/>
      <c r="D23" s="254"/>
      <c r="E23" s="254"/>
      <c r="F23" s="244" t="s">
        <v>52</v>
      </c>
      <c r="G23" s="245"/>
      <c r="H23" s="246"/>
      <c r="I23" s="38" t="s">
        <v>53</v>
      </c>
    </row>
    <row r="24" spans="1:15" ht="15.75" thickBot="1" x14ac:dyDescent="0.3">
      <c r="B24" s="259"/>
      <c r="C24" s="260"/>
      <c r="D24" s="260"/>
      <c r="E24" s="260"/>
      <c r="F24" s="39" t="s">
        <v>1</v>
      </c>
      <c r="G24" s="39" t="s">
        <v>2</v>
      </c>
      <c r="H24" s="39" t="s">
        <v>3</v>
      </c>
      <c r="I24" s="40"/>
    </row>
    <row r="25" spans="1:15" ht="15.75" thickBot="1" x14ac:dyDescent="0.3">
      <c r="B25" s="228" t="s">
        <v>54</v>
      </c>
      <c r="C25" s="229"/>
      <c r="D25" s="229"/>
      <c r="E25" s="229"/>
      <c r="F25" s="41">
        <f>D21</f>
        <v>27.99</v>
      </c>
      <c r="G25" s="41">
        <f>E21</f>
        <v>26.53</v>
      </c>
      <c r="H25" s="41">
        <f>F21</f>
        <v>103.55</v>
      </c>
      <c r="I25" s="41">
        <f>G21</f>
        <v>778.95999999999992</v>
      </c>
    </row>
    <row r="27" spans="1:15" ht="35.25" customHeight="1" x14ac:dyDescent="0.25">
      <c r="B27" s="250" t="s">
        <v>95</v>
      </c>
      <c r="C27" s="250"/>
      <c r="D27" s="250"/>
      <c r="E27" s="250"/>
      <c r="F27" s="250"/>
      <c r="G27" s="250"/>
      <c r="H27" s="250"/>
    </row>
    <row r="28" spans="1:15" ht="31.5" customHeight="1" x14ac:dyDescent="0.25">
      <c r="B28" s="79" t="s">
        <v>57</v>
      </c>
      <c r="C28" s="264" t="s">
        <v>58</v>
      </c>
      <c r="D28" s="264"/>
      <c r="E28" s="264"/>
      <c r="F28" s="264"/>
      <c r="G28" s="251" t="s">
        <v>96</v>
      </c>
      <c r="H28" s="252"/>
      <c r="K28" s="13" t="s">
        <v>37</v>
      </c>
      <c r="L28" s="12" t="s">
        <v>47</v>
      </c>
    </row>
    <row r="29" spans="1:15" ht="31.5" x14ac:dyDescent="0.25">
      <c r="B29" s="248"/>
      <c r="C29" s="247" t="s">
        <v>59</v>
      </c>
      <c r="D29" s="225"/>
      <c r="E29" s="247" t="s">
        <v>60</v>
      </c>
      <c r="F29" s="225"/>
      <c r="G29" s="79" t="s">
        <v>59</v>
      </c>
      <c r="H29" s="79" t="s">
        <v>60</v>
      </c>
      <c r="K29" s="13" t="s">
        <v>39</v>
      </c>
      <c r="L29" s="12" t="s">
        <v>56</v>
      </c>
    </row>
    <row r="30" spans="1:15" ht="30" x14ac:dyDescent="0.25">
      <c r="B30" s="249"/>
      <c r="C30" s="224" t="s">
        <v>109</v>
      </c>
      <c r="D30" s="225"/>
      <c r="E30" s="224" t="s">
        <v>109</v>
      </c>
      <c r="F30" s="225"/>
      <c r="G30" s="162" t="s">
        <v>109</v>
      </c>
      <c r="H30" s="162" t="s">
        <v>109</v>
      </c>
      <c r="K30" s="13" t="s">
        <v>41</v>
      </c>
      <c r="L30" s="12" t="s">
        <v>42</v>
      </c>
    </row>
    <row r="31" spans="1:15" ht="63" x14ac:dyDescent="0.25">
      <c r="B31" s="80" t="s">
        <v>61</v>
      </c>
      <c r="C31" s="222">
        <v>80</v>
      </c>
      <c r="D31" s="223"/>
      <c r="E31" s="222">
        <v>80</v>
      </c>
      <c r="F31" s="223"/>
      <c r="G31" s="81">
        <v>40</v>
      </c>
      <c r="H31" s="81">
        <v>40</v>
      </c>
      <c r="K31" s="13" t="s">
        <v>43</v>
      </c>
      <c r="L31" s="12" t="s">
        <v>128</v>
      </c>
    </row>
    <row r="32" spans="1:15" x14ac:dyDescent="0.25">
      <c r="B32" s="80" t="s">
        <v>62</v>
      </c>
      <c r="C32" s="222">
        <v>150</v>
      </c>
      <c r="D32" s="223"/>
      <c r="E32" s="222">
        <v>150</v>
      </c>
      <c r="F32" s="223"/>
      <c r="G32" s="81">
        <f>18+10+50+40</f>
        <v>118</v>
      </c>
      <c r="H32" s="81">
        <v>118</v>
      </c>
    </row>
    <row r="33" spans="2:8" x14ac:dyDescent="0.25">
      <c r="B33" s="80" t="s">
        <v>63</v>
      </c>
      <c r="C33" s="222">
        <v>15</v>
      </c>
      <c r="D33" s="223"/>
      <c r="E33" s="222">
        <v>15</v>
      </c>
      <c r="F33" s="223"/>
      <c r="G33" s="81">
        <v>9.6</v>
      </c>
      <c r="H33" s="81">
        <v>9.6</v>
      </c>
    </row>
    <row r="34" spans="2:8" x14ac:dyDescent="0.25">
      <c r="B34" s="82" t="s">
        <v>64</v>
      </c>
      <c r="C34" s="226">
        <v>45</v>
      </c>
      <c r="D34" s="227"/>
      <c r="E34" s="226">
        <v>45</v>
      </c>
      <c r="F34" s="227"/>
      <c r="G34" s="83">
        <f>10+23</f>
        <v>33</v>
      </c>
      <c r="H34" s="83">
        <v>33</v>
      </c>
    </row>
    <row r="35" spans="2:8" x14ac:dyDescent="0.25">
      <c r="B35" s="80" t="s">
        <v>65</v>
      </c>
      <c r="C35" s="222">
        <v>15</v>
      </c>
      <c r="D35" s="223"/>
      <c r="E35" s="222">
        <v>15</v>
      </c>
      <c r="F35" s="223"/>
      <c r="G35" s="81"/>
      <c r="H35" s="81"/>
    </row>
    <row r="36" spans="2:8" x14ac:dyDescent="0.25">
      <c r="B36" s="80" t="s">
        <v>66</v>
      </c>
      <c r="C36" s="222" t="s">
        <v>67</v>
      </c>
      <c r="D36" s="223"/>
      <c r="E36" s="220">
        <v>188</v>
      </c>
      <c r="F36" s="221"/>
      <c r="G36" s="81">
        <v>33.25</v>
      </c>
      <c r="H36" s="81">
        <v>25</v>
      </c>
    </row>
    <row r="37" spans="2:8" x14ac:dyDescent="0.25">
      <c r="B37" s="80" t="s">
        <v>68</v>
      </c>
      <c r="C37" s="222">
        <v>350</v>
      </c>
      <c r="D37" s="223"/>
      <c r="E37" s="222" t="s">
        <v>69</v>
      </c>
      <c r="F37" s="223"/>
      <c r="G37" s="81">
        <f>85.6+37.5+12.5+12+142+3+5+6</f>
        <v>303.60000000000002</v>
      </c>
      <c r="H37" s="102">
        <f>67+30+10+10+114+2.5+4+6</f>
        <v>243.5</v>
      </c>
    </row>
    <row r="38" spans="2:8" x14ac:dyDescent="0.25">
      <c r="B38" s="80" t="s">
        <v>70</v>
      </c>
      <c r="C38" s="222">
        <v>200</v>
      </c>
      <c r="D38" s="223"/>
      <c r="E38" s="222" t="s">
        <v>71</v>
      </c>
      <c r="F38" s="223"/>
      <c r="G38" s="81">
        <f>135.7</f>
        <v>135.69999999999999</v>
      </c>
      <c r="H38" s="81">
        <v>125</v>
      </c>
    </row>
    <row r="39" spans="2:8" x14ac:dyDescent="0.25">
      <c r="B39" s="80" t="s">
        <v>72</v>
      </c>
      <c r="C39" s="222">
        <v>15</v>
      </c>
      <c r="D39" s="223"/>
      <c r="E39" s="222">
        <v>15</v>
      </c>
      <c r="F39" s="223"/>
      <c r="G39" s="81">
        <v>5.0999999999999996</v>
      </c>
      <c r="H39" s="81">
        <v>5</v>
      </c>
    </row>
    <row r="40" spans="2:8" ht="25.5" x14ac:dyDescent="0.25">
      <c r="B40" s="80" t="s">
        <v>73</v>
      </c>
      <c r="C40" s="222">
        <v>200</v>
      </c>
      <c r="D40" s="223"/>
      <c r="E40" s="222">
        <v>200</v>
      </c>
      <c r="F40" s="223"/>
      <c r="G40" s="81">
        <v>200</v>
      </c>
      <c r="H40" s="81">
        <v>200</v>
      </c>
    </row>
    <row r="41" spans="2:8" x14ac:dyDescent="0.25">
      <c r="B41" s="80" t="s">
        <v>74</v>
      </c>
      <c r="C41" s="222" t="s">
        <v>75</v>
      </c>
      <c r="D41" s="223"/>
      <c r="E41" s="222">
        <v>70</v>
      </c>
      <c r="F41" s="223"/>
      <c r="G41" s="81">
        <v>40</v>
      </c>
      <c r="H41" s="81">
        <v>25</v>
      </c>
    </row>
    <row r="42" spans="2:8" ht="25.5" x14ac:dyDescent="0.25">
      <c r="B42" s="80" t="s">
        <v>76</v>
      </c>
      <c r="C42" s="222" t="s">
        <v>77</v>
      </c>
      <c r="D42" s="223"/>
      <c r="E42" s="222">
        <v>35</v>
      </c>
      <c r="F42" s="223"/>
      <c r="G42" s="81"/>
      <c r="H42" s="81"/>
    </row>
    <row r="43" spans="2:8" x14ac:dyDescent="0.25">
      <c r="B43" s="80" t="s">
        <v>78</v>
      </c>
      <c r="C43" s="222">
        <v>60</v>
      </c>
      <c r="D43" s="223"/>
      <c r="E43" s="222">
        <v>58</v>
      </c>
      <c r="F43" s="223"/>
      <c r="G43" s="81">
        <v>90</v>
      </c>
      <c r="H43" s="81">
        <v>66</v>
      </c>
    </row>
    <row r="44" spans="2:8" x14ac:dyDescent="0.25">
      <c r="B44" s="80" t="s">
        <v>79</v>
      </c>
      <c r="C44" s="222">
        <v>15</v>
      </c>
      <c r="D44" s="223"/>
      <c r="E44" s="222">
        <v>14.7</v>
      </c>
      <c r="F44" s="223"/>
      <c r="G44" s="81"/>
      <c r="H44" s="81"/>
    </row>
    <row r="45" spans="2:8" x14ac:dyDescent="0.25">
      <c r="B45" s="80" t="s">
        <v>80</v>
      </c>
      <c r="C45" s="222">
        <v>300</v>
      </c>
      <c r="D45" s="223"/>
      <c r="E45" s="222">
        <v>300</v>
      </c>
      <c r="F45" s="223"/>
      <c r="G45" s="81">
        <f>26+50+100</f>
        <v>176</v>
      </c>
      <c r="H45" s="81">
        <v>176</v>
      </c>
    </row>
    <row r="46" spans="2:8" ht="25.5" x14ac:dyDescent="0.25">
      <c r="B46" s="80" t="s">
        <v>81</v>
      </c>
      <c r="C46" s="222">
        <v>150</v>
      </c>
      <c r="D46" s="223"/>
      <c r="E46" s="222">
        <v>150</v>
      </c>
      <c r="F46" s="223"/>
      <c r="G46" s="81">
        <v>206</v>
      </c>
      <c r="H46" s="81">
        <v>200</v>
      </c>
    </row>
    <row r="47" spans="2:8" x14ac:dyDescent="0.25">
      <c r="B47" s="80" t="s">
        <v>82</v>
      </c>
      <c r="C47" s="222">
        <v>50</v>
      </c>
      <c r="D47" s="223"/>
      <c r="E47" s="222">
        <v>50</v>
      </c>
      <c r="F47" s="223"/>
      <c r="G47" s="81"/>
      <c r="H47" s="81"/>
    </row>
    <row r="48" spans="2:8" x14ac:dyDescent="0.25">
      <c r="B48" s="80" t="s">
        <v>83</v>
      </c>
      <c r="C48" s="222">
        <v>10</v>
      </c>
      <c r="D48" s="223"/>
      <c r="E48" s="222">
        <v>9.8000000000000007</v>
      </c>
      <c r="F48" s="223"/>
      <c r="G48" s="81"/>
      <c r="H48" s="102"/>
    </row>
    <row r="49" spans="2:8" x14ac:dyDescent="0.25">
      <c r="B49" s="80" t="s">
        <v>84</v>
      </c>
      <c r="C49" s="222">
        <v>10</v>
      </c>
      <c r="D49" s="223"/>
      <c r="E49" s="222">
        <v>10</v>
      </c>
      <c r="F49" s="223"/>
      <c r="G49" s="86">
        <v>22</v>
      </c>
      <c r="H49" s="86">
        <v>22</v>
      </c>
    </row>
    <row r="50" spans="2:8" x14ac:dyDescent="0.25">
      <c r="B50" s="80" t="s">
        <v>85</v>
      </c>
      <c r="C50" s="222">
        <v>30</v>
      </c>
      <c r="D50" s="223"/>
      <c r="E50" s="222">
        <v>30</v>
      </c>
      <c r="F50" s="223"/>
      <c r="G50" s="81">
        <v>20</v>
      </c>
      <c r="H50" s="81">
        <v>20</v>
      </c>
    </row>
    <row r="51" spans="2:8" x14ac:dyDescent="0.25">
      <c r="B51" s="80" t="s">
        <v>86</v>
      </c>
      <c r="C51" s="222">
        <v>15</v>
      </c>
      <c r="D51" s="223"/>
      <c r="E51" s="222">
        <v>15</v>
      </c>
      <c r="F51" s="223"/>
      <c r="G51" s="81">
        <f>6+10+5+2+4</f>
        <v>27</v>
      </c>
      <c r="H51" s="81">
        <v>27</v>
      </c>
    </row>
    <row r="52" spans="2:8" x14ac:dyDescent="0.25">
      <c r="B52" s="80" t="s">
        <v>87</v>
      </c>
      <c r="C52" s="222" t="s">
        <v>88</v>
      </c>
      <c r="D52" s="223"/>
      <c r="E52" s="222">
        <v>40</v>
      </c>
      <c r="F52" s="223"/>
      <c r="G52" s="81">
        <v>3</v>
      </c>
      <c r="H52" s="81">
        <v>3</v>
      </c>
    </row>
    <row r="53" spans="2:8" x14ac:dyDescent="0.25">
      <c r="B53" s="80" t="s">
        <v>89</v>
      </c>
      <c r="C53" s="222">
        <v>40</v>
      </c>
      <c r="D53" s="223"/>
      <c r="E53" s="220">
        <v>40</v>
      </c>
      <c r="F53" s="221"/>
      <c r="G53" s="81">
        <f>3+4+3+20+1</f>
        <v>31</v>
      </c>
      <c r="H53" s="81">
        <v>31</v>
      </c>
    </row>
    <row r="54" spans="2:8" x14ac:dyDescent="0.25">
      <c r="B54" s="80" t="s">
        <v>90</v>
      </c>
      <c r="C54" s="220">
        <v>10</v>
      </c>
      <c r="D54" s="221"/>
      <c r="E54" s="222">
        <v>10</v>
      </c>
      <c r="F54" s="223"/>
      <c r="G54" s="81">
        <v>20</v>
      </c>
      <c r="H54" s="81">
        <v>20</v>
      </c>
    </row>
    <row r="55" spans="2:8" x14ac:dyDescent="0.25">
      <c r="B55" s="80" t="s">
        <v>91</v>
      </c>
      <c r="C55" s="222">
        <v>0.4</v>
      </c>
      <c r="D55" s="223"/>
      <c r="E55" s="222">
        <v>0.4</v>
      </c>
      <c r="F55" s="223"/>
      <c r="G55" s="81"/>
      <c r="H55" s="81"/>
    </row>
    <row r="56" spans="2:8" x14ac:dyDescent="0.25">
      <c r="B56" s="80" t="s">
        <v>92</v>
      </c>
      <c r="C56" s="222">
        <v>1.2</v>
      </c>
      <c r="D56" s="223"/>
      <c r="E56" s="222">
        <v>1.2</v>
      </c>
      <c r="F56" s="223"/>
      <c r="G56" s="81"/>
      <c r="H56" s="81"/>
    </row>
    <row r="57" spans="2:8" x14ac:dyDescent="0.25">
      <c r="B57" s="80" t="s">
        <v>93</v>
      </c>
      <c r="C57" s="222">
        <v>1</v>
      </c>
      <c r="D57" s="223"/>
      <c r="E57" s="222">
        <v>1</v>
      </c>
      <c r="F57" s="223"/>
      <c r="G57" s="81"/>
      <c r="H57" s="81"/>
    </row>
    <row r="58" spans="2:8" x14ac:dyDescent="0.25">
      <c r="B58" s="80" t="s">
        <v>94</v>
      </c>
      <c r="C58" s="222">
        <v>5</v>
      </c>
      <c r="D58" s="223"/>
      <c r="E58" s="222">
        <v>5</v>
      </c>
      <c r="F58" s="223"/>
      <c r="G58" s="81">
        <v>3</v>
      </c>
      <c r="H58" s="81">
        <v>3</v>
      </c>
    </row>
    <row r="59" spans="2:8" x14ac:dyDescent="0.25">
      <c r="B59" s="18"/>
      <c r="C59" s="18"/>
      <c r="D59" s="18"/>
      <c r="E59" s="18"/>
      <c r="F59" s="18"/>
      <c r="G59" s="18"/>
      <c r="H59" s="18"/>
    </row>
  </sheetData>
  <sheetProtection formatCells="0" formatColumns="0" formatRows="0" insertColumns="0" insertRows="0" insertHyperlinks="0" deleteColumns="0" deleteRows="0" sort="0" autoFilter="0" pivotTables="0"/>
  <mergeCells count="76">
    <mergeCell ref="H5:K5"/>
    <mergeCell ref="L5:O5"/>
    <mergeCell ref="A5:A6"/>
    <mergeCell ref="B5:B6"/>
    <mergeCell ref="C5:C6"/>
    <mergeCell ref="D5:F5"/>
    <mergeCell ref="G5:G6"/>
    <mergeCell ref="B23:E24"/>
    <mergeCell ref="F23:H23"/>
    <mergeCell ref="B25:E25"/>
    <mergeCell ref="A7:O7"/>
    <mergeCell ref="A16:O16"/>
    <mergeCell ref="B27:H27"/>
    <mergeCell ref="C28:F28"/>
    <mergeCell ref="B29:B30"/>
    <mergeCell ref="C29:D29"/>
    <mergeCell ref="E29:F29"/>
    <mergeCell ref="G28:H28"/>
    <mergeCell ref="E30:F3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4:D54"/>
    <mergeCell ref="C56:D56"/>
    <mergeCell ref="C57:D57"/>
    <mergeCell ref="C58:D58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31:F31"/>
  </mergeCells>
  <pageMargins left="0.70866141732283472" right="0.70866141732283472" top="0.74803149606299213" bottom="0.74803149606299213" header="0.31496062992125984" footer="0.31496062992125984"/>
  <pageSetup paperSize="9" scale="74" fitToWidth="2" fitToHeight="2" orientation="landscape" r:id="rId1"/>
  <rowBreaks count="1" manualBreakCount="1">
    <brk id="26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AA65"/>
  <sheetViews>
    <sheetView view="pageBreakPreview" zoomScale="80" zoomScaleSheetLayoutView="80" workbookViewId="0">
      <selection activeCell="D21" sqref="D21:O21"/>
    </sheetView>
  </sheetViews>
  <sheetFormatPr defaultRowHeight="15" x14ac:dyDescent="0.25"/>
  <cols>
    <col min="2" max="2" width="37.140625" bestFit="1" customWidth="1"/>
    <col min="6" max="6" width="10.28515625" customWidth="1"/>
    <col min="7" max="7" width="17.5703125" customWidth="1"/>
    <col min="8" max="8" width="11.42578125" customWidth="1"/>
    <col min="9" max="9" width="12.140625" customWidth="1"/>
    <col min="10" max="10" width="14.28515625" customWidth="1"/>
    <col min="12" max="13" width="10" bestFit="1" customWidth="1"/>
  </cols>
  <sheetData>
    <row r="1" spans="1:27" ht="15.75" x14ac:dyDescent="0.25">
      <c r="A1" s="13" t="s">
        <v>37</v>
      </c>
      <c r="B1" s="12" t="s">
        <v>48</v>
      </c>
    </row>
    <row r="2" spans="1:27" ht="22.5" customHeight="1" x14ac:dyDescent="0.25">
      <c r="A2" s="13" t="s">
        <v>39</v>
      </c>
      <c r="B2" s="12" t="s">
        <v>56</v>
      </c>
    </row>
    <row r="3" spans="1:27" ht="15.75" x14ac:dyDescent="0.25">
      <c r="A3" s="13" t="s">
        <v>41</v>
      </c>
      <c r="B3" s="12" t="s">
        <v>42</v>
      </c>
    </row>
    <row r="4" spans="1:27" ht="47.25" customHeight="1" x14ac:dyDescent="0.25">
      <c r="A4" s="13" t="s">
        <v>43</v>
      </c>
      <c r="B4" s="12" t="s">
        <v>44</v>
      </c>
    </row>
    <row r="5" spans="1:27" ht="15.75" x14ac:dyDescent="0.25">
      <c r="A5" s="324" t="s">
        <v>27</v>
      </c>
      <c r="B5" s="324" t="s">
        <v>18</v>
      </c>
      <c r="C5" s="324" t="s">
        <v>21</v>
      </c>
      <c r="D5" s="321" t="s">
        <v>30</v>
      </c>
      <c r="E5" s="322"/>
      <c r="F5" s="323"/>
      <c r="G5" s="324" t="s">
        <v>0</v>
      </c>
      <c r="H5" s="321" t="s">
        <v>29</v>
      </c>
      <c r="I5" s="322"/>
      <c r="J5" s="322"/>
      <c r="K5" s="323"/>
      <c r="L5" s="321" t="s">
        <v>28</v>
      </c>
      <c r="M5" s="322"/>
      <c r="N5" s="322"/>
      <c r="O5" s="323"/>
    </row>
    <row r="6" spans="1:27" ht="15.75" x14ac:dyDescent="0.25">
      <c r="A6" s="325"/>
      <c r="B6" s="326"/>
      <c r="C6" s="327"/>
      <c r="D6" s="7" t="s">
        <v>1</v>
      </c>
      <c r="E6" s="7" t="s">
        <v>2</v>
      </c>
      <c r="F6" s="7" t="s">
        <v>3</v>
      </c>
      <c r="G6" s="325"/>
      <c r="H6" s="7" t="s">
        <v>17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10</v>
      </c>
    </row>
    <row r="7" spans="1:27" s="30" customFormat="1" ht="18.75" x14ac:dyDescent="0.2">
      <c r="A7" s="352" t="s">
        <v>20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61"/>
    </row>
    <row r="8" spans="1:27" s="14" customFormat="1" ht="25.5" x14ac:dyDescent="0.25">
      <c r="A8" s="66">
        <v>45</v>
      </c>
      <c r="B8" s="9" t="s">
        <v>105</v>
      </c>
      <c r="C8" s="91">
        <v>100</v>
      </c>
      <c r="D8" s="67">
        <v>1.31</v>
      </c>
      <c r="E8" s="67">
        <v>3.25</v>
      </c>
      <c r="F8" s="67">
        <v>6.5</v>
      </c>
      <c r="G8" s="67">
        <v>60.4</v>
      </c>
      <c r="H8" s="67">
        <v>0.02</v>
      </c>
      <c r="I8" s="67">
        <v>17.010000000000002</v>
      </c>
      <c r="J8" s="67"/>
      <c r="K8" s="67">
        <v>8.39</v>
      </c>
      <c r="L8" s="67">
        <v>24.97</v>
      </c>
      <c r="M8" s="67">
        <v>28.3</v>
      </c>
      <c r="N8" s="67">
        <v>15.09</v>
      </c>
      <c r="O8" s="94">
        <v>0.47</v>
      </c>
    </row>
    <row r="9" spans="1:27" s="30" customFormat="1" ht="25.5" customHeight="1" x14ac:dyDescent="0.2">
      <c r="A9" s="154">
        <v>82</v>
      </c>
      <c r="B9" s="150" t="s">
        <v>113</v>
      </c>
      <c r="C9" s="156">
        <v>250</v>
      </c>
      <c r="D9" s="155">
        <v>2.6</v>
      </c>
      <c r="E9" s="155">
        <v>5.12</v>
      </c>
      <c r="F9" s="155">
        <v>10.93</v>
      </c>
      <c r="G9" s="155">
        <v>138.75</v>
      </c>
      <c r="H9" s="155">
        <v>5.0000000000000001E-3</v>
      </c>
      <c r="I9" s="155">
        <v>10.68</v>
      </c>
      <c r="J9" s="155"/>
      <c r="K9" s="155">
        <v>2.4</v>
      </c>
      <c r="L9" s="155">
        <v>51.73</v>
      </c>
      <c r="M9" s="155">
        <v>54.6</v>
      </c>
      <c r="N9" s="155">
        <v>26.13</v>
      </c>
      <c r="O9" s="155">
        <v>1.23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s="14" customFormat="1" x14ac:dyDescent="0.25">
      <c r="A10" s="154">
        <v>309</v>
      </c>
      <c r="B10" s="150" t="s">
        <v>12</v>
      </c>
      <c r="C10" s="154">
        <v>150</v>
      </c>
      <c r="D10" s="155">
        <v>5.52</v>
      </c>
      <c r="E10" s="155">
        <v>4.5199999999999996</v>
      </c>
      <c r="F10" s="155">
        <v>26.45</v>
      </c>
      <c r="G10" s="155">
        <v>168.45</v>
      </c>
      <c r="H10" s="155">
        <v>0.06</v>
      </c>
      <c r="I10" s="155"/>
      <c r="J10" s="155"/>
      <c r="K10" s="155">
        <v>0.97</v>
      </c>
      <c r="L10" s="155">
        <v>4.8600000000000003</v>
      </c>
      <c r="M10" s="155">
        <v>37.17</v>
      </c>
      <c r="N10" s="155">
        <v>21.12</v>
      </c>
      <c r="O10" s="155">
        <v>1.1100000000000001</v>
      </c>
    </row>
    <row r="11" spans="1:27" s="14" customFormat="1" x14ac:dyDescent="0.25">
      <c r="A11" s="158">
        <v>288</v>
      </c>
      <c r="B11" s="9" t="s">
        <v>99</v>
      </c>
      <c r="C11" s="158">
        <v>110</v>
      </c>
      <c r="D11" s="16">
        <v>23.46</v>
      </c>
      <c r="E11" s="16">
        <v>25.82</v>
      </c>
      <c r="F11" s="16">
        <v>0.5</v>
      </c>
      <c r="G11" s="16">
        <v>328</v>
      </c>
      <c r="H11" s="16">
        <v>0.04</v>
      </c>
      <c r="I11" s="16">
        <v>23.5</v>
      </c>
      <c r="J11" s="16">
        <v>96.2</v>
      </c>
      <c r="K11" s="16">
        <v>0.42</v>
      </c>
      <c r="L11" s="16">
        <v>56</v>
      </c>
      <c r="M11" s="16">
        <v>167.1</v>
      </c>
      <c r="N11" s="16">
        <v>20.28</v>
      </c>
      <c r="O11" s="16">
        <v>1.82</v>
      </c>
    </row>
    <row r="12" spans="1:27" s="14" customFormat="1" ht="25.5" x14ac:dyDescent="0.25">
      <c r="A12" s="158">
        <v>438</v>
      </c>
      <c r="B12" s="9" t="s">
        <v>124</v>
      </c>
      <c r="C12" s="142">
        <v>180</v>
      </c>
      <c r="D12" s="16">
        <v>0.1</v>
      </c>
      <c r="E12" s="16">
        <v>0.1</v>
      </c>
      <c r="F12" s="16">
        <v>22</v>
      </c>
      <c r="G12" s="16">
        <v>89.6</v>
      </c>
      <c r="H12" s="16">
        <v>0</v>
      </c>
      <c r="I12" s="16">
        <v>0.9</v>
      </c>
      <c r="J12" s="16"/>
      <c r="K12" s="16">
        <v>0.1</v>
      </c>
      <c r="L12" s="16">
        <v>11.2</v>
      </c>
      <c r="M12" s="16">
        <v>2.2999999999999998</v>
      </c>
      <c r="N12" s="16">
        <v>3.3</v>
      </c>
      <c r="O12" s="16">
        <v>0.5</v>
      </c>
    </row>
    <row r="13" spans="1:27" s="14" customFormat="1" x14ac:dyDescent="0.25">
      <c r="A13" s="50"/>
      <c r="B13" s="9" t="s">
        <v>14</v>
      </c>
      <c r="C13" s="142">
        <v>40</v>
      </c>
      <c r="D13" s="16">
        <v>2.2400000000000002</v>
      </c>
      <c r="E13" s="16">
        <v>0.88</v>
      </c>
      <c r="F13" s="16">
        <v>19.760000000000002</v>
      </c>
      <c r="G13" s="16">
        <v>91.96</v>
      </c>
      <c r="H13" s="16">
        <v>0.04</v>
      </c>
      <c r="I13" s="16"/>
      <c r="J13" s="16"/>
      <c r="K13" s="16">
        <v>0.36</v>
      </c>
      <c r="L13" s="16">
        <v>9.1999999999999993</v>
      </c>
      <c r="M13" s="16">
        <v>42.4</v>
      </c>
      <c r="N13" s="16">
        <v>10</v>
      </c>
      <c r="O13" s="16">
        <v>1.24</v>
      </c>
    </row>
    <row r="14" spans="1:27" s="14" customFormat="1" x14ac:dyDescent="0.25">
      <c r="A14" s="100"/>
      <c r="B14" s="158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1:27" s="30" customFormat="1" ht="16.149999999999999" customHeight="1" x14ac:dyDescent="0.2">
      <c r="A15" s="168" t="s">
        <v>11</v>
      </c>
      <c r="B15" s="169"/>
      <c r="C15" s="169"/>
      <c r="D15" s="170">
        <f>D14+D13+D12+D11+D10+D9+D8</f>
        <v>35.230000000000004</v>
      </c>
      <c r="E15" s="170">
        <f t="shared" ref="E15:O15" si="0">E14+E13+E12+E11+E10+E9+E8</f>
        <v>39.69</v>
      </c>
      <c r="F15" s="170">
        <f t="shared" si="0"/>
        <v>86.140000000000015</v>
      </c>
      <c r="G15" s="170">
        <f t="shared" si="0"/>
        <v>877.16</v>
      </c>
      <c r="H15" s="170">
        <f t="shared" si="0"/>
        <v>0.16500000000000001</v>
      </c>
      <c r="I15" s="170">
        <f t="shared" si="0"/>
        <v>52.09</v>
      </c>
      <c r="J15" s="170">
        <f t="shared" si="0"/>
        <v>96.2</v>
      </c>
      <c r="K15" s="170">
        <f t="shared" si="0"/>
        <v>12.64</v>
      </c>
      <c r="L15" s="170">
        <f t="shared" si="0"/>
        <v>157.96</v>
      </c>
      <c r="M15" s="170">
        <f t="shared" si="0"/>
        <v>331.87</v>
      </c>
      <c r="N15" s="170">
        <f t="shared" si="0"/>
        <v>95.92</v>
      </c>
      <c r="O15" s="170">
        <f t="shared" si="0"/>
        <v>6.37</v>
      </c>
    </row>
    <row r="16" spans="1:27" s="30" customFormat="1" ht="16.149999999999999" customHeight="1" x14ac:dyDescent="0.2">
      <c r="A16" s="288" t="s">
        <v>19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90"/>
      <c r="P16" s="61"/>
    </row>
    <row r="17" spans="1:15" s="30" customFormat="1" ht="15.75" customHeight="1" x14ac:dyDescent="0.2">
      <c r="A17" s="15"/>
      <c r="B17" s="9"/>
      <c r="C17" s="15"/>
      <c r="D17" s="16"/>
      <c r="E17" s="16"/>
      <c r="F17" s="16"/>
      <c r="G17" s="16"/>
      <c r="H17" s="16"/>
      <c r="I17" s="16"/>
      <c r="J17" s="97"/>
      <c r="K17" s="16"/>
      <c r="L17" s="16"/>
      <c r="M17" s="16"/>
      <c r="N17" s="16"/>
      <c r="O17" s="16"/>
    </row>
    <row r="18" spans="1:15" s="29" customFormat="1" ht="12.75" x14ac:dyDescent="0.2">
      <c r="A18" s="160"/>
      <c r="B18" s="9"/>
      <c r="C18" s="16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29" customFormat="1" ht="18.75" customHeight="1" x14ac:dyDescent="0.2">
      <c r="A19" s="115"/>
      <c r="B19" s="9"/>
      <c r="C19" s="14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30" customFormat="1" ht="16.149999999999999" customHeight="1" x14ac:dyDescent="0.2">
      <c r="A20" s="107" t="s">
        <v>11</v>
      </c>
      <c r="B20" s="108"/>
      <c r="C20" s="108"/>
      <c r="D20" s="110">
        <f>D19+D18+D17</f>
        <v>0</v>
      </c>
      <c r="E20" s="110">
        <f t="shared" ref="E20:O20" si="1">E19+E18+E17</f>
        <v>0</v>
      </c>
      <c r="F20" s="110">
        <f t="shared" si="1"/>
        <v>0</v>
      </c>
      <c r="G20" s="110">
        <f t="shared" si="1"/>
        <v>0</v>
      </c>
      <c r="H20" s="110">
        <f t="shared" si="1"/>
        <v>0</v>
      </c>
      <c r="I20" s="110">
        <f t="shared" si="1"/>
        <v>0</v>
      </c>
      <c r="J20" s="110">
        <f t="shared" si="1"/>
        <v>0</v>
      </c>
      <c r="K20" s="110">
        <f t="shared" si="1"/>
        <v>0</v>
      </c>
      <c r="L20" s="110">
        <f t="shared" si="1"/>
        <v>0</v>
      </c>
      <c r="M20" s="110">
        <f t="shared" si="1"/>
        <v>0</v>
      </c>
      <c r="N20" s="110">
        <f t="shared" si="1"/>
        <v>0</v>
      </c>
      <c r="O20" s="110">
        <f t="shared" si="1"/>
        <v>0</v>
      </c>
    </row>
    <row r="21" spans="1:15" s="30" customFormat="1" ht="16.149999999999999" customHeight="1" x14ac:dyDescent="0.2">
      <c r="A21" s="107" t="s">
        <v>15</v>
      </c>
      <c r="B21" s="108"/>
      <c r="C21" s="108"/>
      <c r="D21" s="109">
        <f>D15+D20</f>
        <v>35.230000000000004</v>
      </c>
      <c r="E21" s="109">
        <f t="shared" ref="E21:O21" si="2">E15+E20</f>
        <v>39.69</v>
      </c>
      <c r="F21" s="109">
        <f t="shared" si="2"/>
        <v>86.140000000000015</v>
      </c>
      <c r="G21" s="109">
        <f t="shared" si="2"/>
        <v>877.16</v>
      </c>
      <c r="H21" s="109">
        <f t="shared" si="2"/>
        <v>0.16500000000000001</v>
      </c>
      <c r="I21" s="109">
        <f t="shared" si="2"/>
        <v>52.09</v>
      </c>
      <c r="J21" s="109">
        <f t="shared" si="2"/>
        <v>96.2</v>
      </c>
      <c r="K21" s="109">
        <f t="shared" si="2"/>
        <v>12.64</v>
      </c>
      <c r="L21" s="109">
        <f t="shared" si="2"/>
        <v>157.96</v>
      </c>
      <c r="M21" s="109">
        <f t="shared" si="2"/>
        <v>331.87</v>
      </c>
      <c r="N21" s="109">
        <f t="shared" si="2"/>
        <v>95.92</v>
      </c>
      <c r="O21" s="109">
        <f t="shared" si="2"/>
        <v>6.37</v>
      </c>
    </row>
    <row r="22" spans="1:15" ht="15.75" thickBot="1" x14ac:dyDescent="0.3">
      <c r="G22" s="51"/>
    </row>
    <row r="23" spans="1:15" ht="26.25" thickBot="1" x14ac:dyDescent="0.3">
      <c r="B23" s="253" t="s">
        <v>51</v>
      </c>
      <c r="C23" s="254"/>
      <c r="D23" s="254"/>
      <c r="E23" s="254"/>
      <c r="F23" s="244" t="s">
        <v>52</v>
      </c>
      <c r="G23" s="245"/>
      <c r="H23" s="246"/>
      <c r="I23" s="38" t="s">
        <v>53</v>
      </c>
    </row>
    <row r="24" spans="1:15" ht="15.75" thickBot="1" x14ac:dyDescent="0.3">
      <c r="B24" s="259"/>
      <c r="C24" s="260"/>
      <c r="D24" s="260"/>
      <c r="E24" s="260"/>
      <c r="F24" s="39" t="s">
        <v>1</v>
      </c>
      <c r="G24" s="39" t="s">
        <v>2</v>
      </c>
      <c r="H24" s="39" t="s">
        <v>3</v>
      </c>
      <c r="I24" s="40"/>
    </row>
    <row r="25" spans="1:15" ht="15.75" thickBot="1" x14ac:dyDescent="0.3">
      <c r="B25" s="228" t="s">
        <v>54</v>
      </c>
      <c r="C25" s="229"/>
      <c r="D25" s="229"/>
      <c r="E25" s="229"/>
      <c r="F25" s="41">
        <f>D21</f>
        <v>35.230000000000004</v>
      </c>
      <c r="G25" s="41">
        <f>E21</f>
        <v>39.69</v>
      </c>
      <c r="H25" s="41">
        <f>F21</f>
        <v>86.140000000000015</v>
      </c>
      <c r="I25" s="41">
        <f>G21</f>
        <v>877.16</v>
      </c>
    </row>
    <row r="27" spans="1:15" ht="41.25" customHeight="1" x14ac:dyDescent="0.25">
      <c r="B27" s="250" t="s">
        <v>95</v>
      </c>
      <c r="C27" s="250"/>
      <c r="D27" s="250"/>
      <c r="E27" s="250"/>
      <c r="F27" s="250"/>
      <c r="G27" s="250"/>
      <c r="H27" s="250"/>
    </row>
    <row r="28" spans="1:15" ht="33.75" customHeight="1" x14ac:dyDescent="0.25">
      <c r="B28" s="79" t="s">
        <v>57</v>
      </c>
      <c r="C28" s="264" t="s">
        <v>58</v>
      </c>
      <c r="D28" s="264"/>
      <c r="E28" s="264"/>
      <c r="F28" s="264"/>
      <c r="G28" s="251" t="s">
        <v>96</v>
      </c>
      <c r="H28" s="252"/>
      <c r="J28" s="13" t="s">
        <v>37</v>
      </c>
      <c r="K28" s="12" t="s">
        <v>48</v>
      </c>
    </row>
    <row r="29" spans="1:15" ht="15.75" x14ac:dyDescent="0.25">
      <c r="B29" s="248"/>
      <c r="C29" s="247" t="s">
        <v>59</v>
      </c>
      <c r="D29" s="225"/>
      <c r="E29" s="247" t="s">
        <v>60</v>
      </c>
      <c r="F29" s="225"/>
      <c r="G29" s="79" t="s">
        <v>59</v>
      </c>
      <c r="H29" s="79" t="s">
        <v>60</v>
      </c>
      <c r="J29" s="13" t="s">
        <v>39</v>
      </c>
      <c r="K29" s="12" t="s">
        <v>56</v>
      </c>
    </row>
    <row r="30" spans="1:15" ht="30" x14ac:dyDescent="0.25">
      <c r="B30" s="249"/>
      <c r="C30" s="224" t="s">
        <v>109</v>
      </c>
      <c r="D30" s="225"/>
      <c r="E30" s="224" t="s">
        <v>109</v>
      </c>
      <c r="F30" s="225"/>
      <c r="G30" s="162" t="s">
        <v>109</v>
      </c>
      <c r="H30" s="162" t="s">
        <v>109</v>
      </c>
      <c r="J30" s="13" t="s">
        <v>41</v>
      </c>
      <c r="K30" s="12" t="s">
        <v>42</v>
      </c>
    </row>
    <row r="31" spans="1:15" ht="51.75" customHeight="1" x14ac:dyDescent="0.25">
      <c r="B31" s="80" t="s">
        <v>61</v>
      </c>
      <c r="C31" s="222">
        <v>80</v>
      </c>
      <c r="D31" s="223"/>
      <c r="E31" s="222">
        <v>80</v>
      </c>
      <c r="F31" s="223"/>
      <c r="G31" s="81">
        <v>40</v>
      </c>
      <c r="H31" s="81">
        <v>40</v>
      </c>
      <c r="J31" s="13" t="s">
        <v>43</v>
      </c>
      <c r="K31" s="12" t="s">
        <v>44</v>
      </c>
    </row>
    <row r="32" spans="1:15" x14ac:dyDescent="0.25">
      <c r="B32" s="80" t="s">
        <v>62</v>
      </c>
      <c r="C32" s="222">
        <v>150</v>
      </c>
      <c r="D32" s="223"/>
      <c r="E32" s="222">
        <v>150</v>
      </c>
      <c r="F32" s="223"/>
      <c r="G32" s="81">
        <v>90</v>
      </c>
      <c r="H32" s="81">
        <v>90</v>
      </c>
    </row>
    <row r="33" spans="2:8" ht="36.75" customHeight="1" x14ac:dyDescent="0.25">
      <c r="B33" s="80" t="s">
        <v>63</v>
      </c>
      <c r="C33" s="222">
        <v>15</v>
      </c>
      <c r="D33" s="223"/>
      <c r="E33" s="222">
        <v>15</v>
      </c>
      <c r="F33" s="223"/>
      <c r="G33" s="81">
        <v>35.700000000000003</v>
      </c>
      <c r="H33" s="81">
        <v>35.700000000000003</v>
      </c>
    </row>
    <row r="34" spans="2:8" ht="21.75" customHeight="1" x14ac:dyDescent="0.25">
      <c r="B34" s="82" t="s">
        <v>64</v>
      </c>
      <c r="C34" s="226">
        <v>45</v>
      </c>
      <c r="D34" s="227"/>
      <c r="E34" s="226">
        <v>45</v>
      </c>
      <c r="F34" s="227"/>
      <c r="G34" s="83">
        <v>31</v>
      </c>
      <c r="H34" s="83">
        <v>31</v>
      </c>
    </row>
    <row r="35" spans="2:8" x14ac:dyDescent="0.25">
      <c r="B35" s="80" t="s">
        <v>65</v>
      </c>
      <c r="C35" s="222">
        <v>15</v>
      </c>
      <c r="D35" s="223"/>
      <c r="E35" s="222">
        <v>15</v>
      </c>
      <c r="F35" s="223"/>
      <c r="G35" s="81">
        <v>10</v>
      </c>
      <c r="H35" s="81">
        <v>10</v>
      </c>
    </row>
    <row r="36" spans="2:8" x14ac:dyDescent="0.25">
      <c r="B36" s="80" t="s">
        <v>66</v>
      </c>
      <c r="C36" s="222" t="s">
        <v>67</v>
      </c>
      <c r="D36" s="223"/>
      <c r="E36" s="220">
        <v>188</v>
      </c>
      <c r="F36" s="221"/>
      <c r="G36" s="81">
        <f>28.9+53.4+171</f>
        <v>253.3</v>
      </c>
      <c r="H36" s="81">
        <f>21+40+129</f>
        <v>190</v>
      </c>
    </row>
    <row r="37" spans="2:8" x14ac:dyDescent="0.25">
      <c r="B37" s="80" t="s">
        <v>68</v>
      </c>
      <c r="C37" s="222">
        <v>350</v>
      </c>
      <c r="D37" s="223"/>
      <c r="E37" s="222" t="s">
        <v>69</v>
      </c>
      <c r="F37" s="223"/>
      <c r="G37" s="81">
        <f>19.1+12.6+18.8+21.4+18.8+10+9.6+2+5+3</f>
        <v>120.3</v>
      </c>
      <c r="H37" s="102">
        <f>15+10+7.5+15+15+8+8+4+4+2</f>
        <v>88.5</v>
      </c>
    </row>
    <row r="38" spans="2:8" x14ac:dyDescent="0.25">
      <c r="B38" s="80" t="s">
        <v>70</v>
      </c>
      <c r="C38" s="222">
        <v>200</v>
      </c>
      <c r="D38" s="223"/>
      <c r="E38" s="222" t="s">
        <v>71</v>
      </c>
      <c r="F38" s="223"/>
      <c r="G38" s="81">
        <v>100</v>
      </c>
      <c r="H38" s="81">
        <v>100</v>
      </c>
    </row>
    <row r="39" spans="2:8" x14ac:dyDescent="0.25">
      <c r="B39" s="80" t="s">
        <v>72</v>
      </c>
      <c r="C39" s="222">
        <v>15</v>
      </c>
      <c r="D39" s="223"/>
      <c r="E39" s="222">
        <v>15</v>
      </c>
      <c r="F39" s="223"/>
      <c r="G39" s="81">
        <v>20.100000000000001</v>
      </c>
      <c r="H39" s="81">
        <v>20.100000000000001</v>
      </c>
    </row>
    <row r="40" spans="2:8" ht="25.5" x14ac:dyDescent="0.25">
      <c r="B40" s="80" t="s">
        <v>73</v>
      </c>
      <c r="C40" s="222">
        <v>200</v>
      </c>
      <c r="D40" s="223"/>
      <c r="E40" s="222">
        <v>200</v>
      </c>
      <c r="F40" s="223"/>
      <c r="G40" s="81"/>
      <c r="H40" s="81"/>
    </row>
    <row r="41" spans="2:8" x14ac:dyDescent="0.25">
      <c r="B41" s="80" t="s">
        <v>74</v>
      </c>
      <c r="C41" s="222" t="s">
        <v>75</v>
      </c>
      <c r="D41" s="223"/>
      <c r="E41" s="222">
        <v>70</v>
      </c>
      <c r="F41" s="223"/>
      <c r="G41" s="81"/>
      <c r="H41" s="81"/>
    </row>
    <row r="42" spans="2:8" ht="25.5" x14ac:dyDescent="0.25">
      <c r="B42" s="80" t="s">
        <v>76</v>
      </c>
      <c r="C42" s="222" t="s">
        <v>77</v>
      </c>
      <c r="D42" s="223"/>
      <c r="E42" s="222">
        <v>35</v>
      </c>
      <c r="F42" s="223"/>
      <c r="G42" s="81">
        <f>142+40</f>
        <v>182</v>
      </c>
      <c r="H42" s="81">
        <f>128+25</f>
        <v>153</v>
      </c>
    </row>
    <row r="43" spans="2:8" x14ac:dyDescent="0.25">
      <c r="B43" s="80" t="s">
        <v>78</v>
      </c>
      <c r="C43" s="222">
        <v>60</v>
      </c>
      <c r="D43" s="223"/>
      <c r="E43" s="222">
        <v>58</v>
      </c>
      <c r="F43" s="223"/>
      <c r="G43" s="81"/>
      <c r="H43" s="81"/>
    </row>
    <row r="44" spans="2:8" x14ac:dyDescent="0.25">
      <c r="B44" s="80" t="s">
        <v>79</v>
      </c>
      <c r="C44" s="222">
        <v>15</v>
      </c>
      <c r="D44" s="223"/>
      <c r="E44" s="222">
        <v>14.7</v>
      </c>
      <c r="F44" s="223"/>
      <c r="G44" s="81"/>
      <c r="H44" s="81"/>
    </row>
    <row r="45" spans="2:8" x14ac:dyDescent="0.25">
      <c r="B45" s="80" t="s">
        <v>80</v>
      </c>
      <c r="C45" s="222">
        <v>300</v>
      </c>
      <c r="D45" s="223"/>
      <c r="E45" s="222">
        <v>300</v>
      </c>
      <c r="F45" s="223"/>
      <c r="G45" s="81">
        <f>211+24+100+100</f>
        <v>435</v>
      </c>
      <c r="H45" s="81">
        <f>22.5+200+200+24</f>
        <v>446.5</v>
      </c>
    </row>
    <row r="46" spans="2:8" ht="25.5" x14ac:dyDescent="0.25">
      <c r="B46" s="80" t="s">
        <v>81</v>
      </c>
      <c r="C46" s="222">
        <v>150</v>
      </c>
      <c r="D46" s="223"/>
      <c r="E46" s="222">
        <v>150</v>
      </c>
      <c r="F46" s="223"/>
      <c r="G46" s="81"/>
      <c r="H46" s="81"/>
    </row>
    <row r="47" spans="2:8" x14ac:dyDescent="0.25">
      <c r="B47" s="80" t="s">
        <v>82</v>
      </c>
      <c r="C47" s="222">
        <v>50</v>
      </c>
      <c r="D47" s="223"/>
      <c r="E47" s="222">
        <v>50</v>
      </c>
      <c r="F47" s="223"/>
      <c r="G47" s="81"/>
      <c r="H47" s="81"/>
    </row>
    <row r="48" spans="2:8" x14ac:dyDescent="0.25">
      <c r="B48" s="80" t="s">
        <v>83</v>
      </c>
      <c r="C48" s="222">
        <v>10</v>
      </c>
      <c r="D48" s="223"/>
      <c r="E48" s="222">
        <v>9.8000000000000007</v>
      </c>
      <c r="F48" s="223"/>
      <c r="G48" s="81"/>
      <c r="H48" s="102"/>
    </row>
    <row r="49" spans="2:8" x14ac:dyDescent="0.25">
      <c r="B49" s="80" t="s">
        <v>84</v>
      </c>
      <c r="C49" s="222">
        <v>10</v>
      </c>
      <c r="D49" s="223"/>
      <c r="E49" s="222">
        <v>10</v>
      </c>
      <c r="F49" s="223"/>
      <c r="G49" s="86"/>
      <c r="H49" s="86"/>
    </row>
    <row r="50" spans="2:8" x14ac:dyDescent="0.25">
      <c r="B50" s="80" t="s">
        <v>85</v>
      </c>
      <c r="C50" s="222">
        <v>30</v>
      </c>
      <c r="D50" s="223"/>
      <c r="E50" s="222">
        <v>30</v>
      </c>
      <c r="F50" s="223"/>
      <c r="G50" s="81">
        <f>0.5+5.25+10+10</f>
        <v>25.75</v>
      </c>
      <c r="H50" s="81">
        <v>25.75</v>
      </c>
    </row>
    <row r="51" spans="2:8" x14ac:dyDescent="0.25">
      <c r="B51" s="80" t="s">
        <v>86</v>
      </c>
      <c r="C51" s="222">
        <v>15</v>
      </c>
      <c r="D51" s="223"/>
      <c r="E51" s="222">
        <v>15</v>
      </c>
      <c r="F51" s="223"/>
      <c r="G51" s="81">
        <v>10</v>
      </c>
      <c r="H51" s="81">
        <v>10</v>
      </c>
    </row>
    <row r="52" spans="2:8" x14ac:dyDescent="0.25">
      <c r="B52" s="80" t="s">
        <v>87</v>
      </c>
      <c r="C52" s="222" t="s">
        <v>88</v>
      </c>
      <c r="D52" s="223"/>
      <c r="E52" s="222">
        <v>40</v>
      </c>
      <c r="F52" s="223"/>
      <c r="G52" s="81">
        <v>2.1</v>
      </c>
      <c r="H52" s="81">
        <v>2.1</v>
      </c>
    </row>
    <row r="53" spans="2:8" x14ac:dyDescent="0.25">
      <c r="B53" s="80" t="s">
        <v>89</v>
      </c>
      <c r="C53" s="222">
        <v>40</v>
      </c>
      <c r="D53" s="223"/>
      <c r="E53" s="220">
        <v>40</v>
      </c>
      <c r="F53" s="221"/>
      <c r="G53" s="81">
        <f>46.36</f>
        <v>46.36</v>
      </c>
      <c r="H53" s="81">
        <v>46.36</v>
      </c>
    </row>
    <row r="54" spans="2:8" x14ac:dyDescent="0.25">
      <c r="B54" s="80" t="s">
        <v>90</v>
      </c>
      <c r="C54" s="220">
        <v>10</v>
      </c>
      <c r="D54" s="221"/>
      <c r="E54" s="222">
        <v>10</v>
      </c>
      <c r="F54" s="223"/>
      <c r="G54" s="81"/>
      <c r="H54" s="81"/>
    </row>
    <row r="55" spans="2:8" x14ac:dyDescent="0.25">
      <c r="B55" s="80" t="s">
        <v>91</v>
      </c>
      <c r="C55" s="222">
        <v>0.4</v>
      </c>
      <c r="D55" s="223"/>
      <c r="E55" s="222">
        <v>0.4</v>
      </c>
      <c r="F55" s="223"/>
      <c r="G55" s="81"/>
      <c r="H55" s="81"/>
    </row>
    <row r="56" spans="2:8" x14ac:dyDescent="0.25">
      <c r="B56" s="80" t="s">
        <v>92</v>
      </c>
      <c r="C56" s="222">
        <v>1.2</v>
      </c>
      <c r="D56" s="223"/>
      <c r="E56" s="222">
        <v>1.2</v>
      </c>
      <c r="F56" s="223"/>
      <c r="G56" s="81">
        <v>4</v>
      </c>
      <c r="H56" s="81">
        <v>4</v>
      </c>
    </row>
    <row r="57" spans="2:8" x14ac:dyDescent="0.25">
      <c r="B57" s="80" t="s">
        <v>93</v>
      </c>
      <c r="C57" s="222">
        <v>1</v>
      </c>
      <c r="D57" s="223"/>
      <c r="E57" s="222">
        <v>1</v>
      </c>
      <c r="F57" s="223"/>
      <c r="G57" s="81">
        <v>0.1</v>
      </c>
      <c r="H57" s="81">
        <v>0.1</v>
      </c>
    </row>
    <row r="58" spans="2:8" x14ac:dyDescent="0.25">
      <c r="B58" s="80" t="s">
        <v>94</v>
      </c>
      <c r="C58" s="222">
        <v>5</v>
      </c>
      <c r="D58" s="223"/>
      <c r="E58" s="222">
        <v>5</v>
      </c>
      <c r="F58" s="223"/>
      <c r="G58" s="81">
        <v>3</v>
      </c>
      <c r="H58" s="81">
        <v>3</v>
      </c>
    </row>
    <row r="59" spans="2:8" x14ac:dyDescent="0.25">
      <c r="B59" s="49"/>
      <c r="C59" s="354"/>
      <c r="D59" s="354"/>
      <c r="E59" s="354"/>
      <c r="F59" s="354"/>
      <c r="G59" s="89"/>
      <c r="H59" s="89"/>
    </row>
    <row r="60" spans="2:8" x14ac:dyDescent="0.25">
      <c r="B60" s="49"/>
      <c r="C60" s="354"/>
      <c r="D60" s="354"/>
      <c r="E60" s="354"/>
      <c r="F60" s="354"/>
      <c r="G60" s="89"/>
      <c r="H60" s="89"/>
    </row>
    <row r="61" spans="2:8" x14ac:dyDescent="0.25">
      <c r="B61" s="49"/>
      <c r="C61" s="354"/>
      <c r="D61" s="354"/>
      <c r="E61" s="354"/>
      <c r="F61" s="354"/>
      <c r="G61" s="89"/>
      <c r="H61" s="89"/>
    </row>
    <row r="62" spans="2:8" x14ac:dyDescent="0.25">
      <c r="B62" s="49"/>
      <c r="C62" s="354"/>
      <c r="D62" s="354"/>
      <c r="E62" s="354"/>
      <c r="F62" s="354"/>
      <c r="G62" s="89"/>
      <c r="H62" s="89"/>
    </row>
    <row r="63" spans="2:8" x14ac:dyDescent="0.25">
      <c r="B63" s="49"/>
      <c r="C63" s="354"/>
      <c r="D63" s="354"/>
      <c r="E63" s="354"/>
      <c r="F63" s="354"/>
      <c r="G63" s="89"/>
      <c r="H63" s="89"/>
    </row>
    <row r="64" spans="2:8" x14ac:dyDescent="0.25">
      <c r="B64" s="49"/>
      <c r="C64" s="354"/>
      <c r="D64" s="354"/>
      <c r="E64" s="354"/>
      <c r="F64" s="354"/>
      <c r="G64" s="89"/>
      <c r="H64" s="89"/>
    </row>
    <row r="65" spans="2:8" x14ac:dyDescent="0.25">
      <c r="B65" s="18"/>
      <c r="C65" s="18"/>
      <c r="D65" s="18"/>
      <c r="E65" s="18"/>
      <c r="F65" s="18"/>
      <c r="G65" s="18"/>
      <c r="H65" s="18"/>
    </row>
  </sheetData>
  <sheetProtection formatCells="0" formatColumns="0" formatRows="0" insertColumns="0" insertRows="0" insertHyperlinks="0" deleteColumns="0" deleteRows="0" sort="0" autoFilter="0" pivotTables="0"/>
  <mergeCells count="88">
    <mergeCell ref="H5:K5"/>
    <mergeCell ref="L5:O5"/>
    <mergeCell ref="A5:A6"/>
    <mergeCell ref="B5:B6"/>
    <mergeCell ref="C5:C6"/>
    <mergeCell ref="D5:F5"/>
    <mergeCell ref="G5:G6"/>
    <mergeCell ref="C41:D41"/>
    <mergeCell ref="C35:D35"/>
    <mergeCell ref="E35:F35"/>
    <mergeCell ref="C36:D36"/>
    <mergeCell ref="C34:D34"/>
    <mergeCell ref="E34:F34"/>
    <mergeCell ref="C37:D37"/>
    <mergeCell ref="C38:D38"/>
    <mergeCell ref="C39:D39"/>
    <mergeCell ref="C40:D40"/>
    <mergeCell ref="E40:F40"/>
    <mergeCell ref="E39:F39"/>
    <mergeCell ref="E38:F38"/>
    <mergeCell ref="E37:F37"/>
    <mergeCell ref="E36:F36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E64:F64"/>
    <mergeCell ref="E63:F63"/>
    <mergeCell ref="E62:F62"/>
    <mergeCell ref="E61:F61"/>
    <mergeCell ref="E60:F60"/>
    <mergeCell ref="E59:F59"/>
    <mergeCell ref="E58:F58"/>
    <mergeCell ref="E56:F56"/>
    <mergeCell ref="E57:F57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C33:D33"/>
    <mergeCell ref="E33:F33"/>
    <mergeCell ref="C28:F28"/>
    <mergeCell ref="G28:H28"/>
    <mergeCell ref="B29:B30"/>
    <mergeCell ref="C29:D29"/>
    <mergeCell ref="E29:F29"/>
    <mergeCell ref="C30:D30"/>
    <mergeCell ref="E30:F30"/>
    <mergeCell ref="A7:O7"/>
    <mergeCell ref="F23:H23"/>
    <mergeCell ref="B23:E24"/>
    <mergeCell ref="B25:E25"/>
    <mergeCell ref="B27:H27"/>
    <mergeCell ref="C31:D31"/>
    <mergeCell ref="E31:F31"/>
    <mergeCell ref="C32:D32"/>
    <mergeCell ref="E32:F32"/>
    <mergeCell ref="A16:O16"/>
  </mergeCells>
  <pageMargins left="0.23622047244094491" right="0.23622047244094491" top="0.74803149606299213" bottom="0.74803149606299213" header="0.31496062992125984" footer="0.31496062992125984"/>
  <pageSetup paperSize="9" scale="71" fitToWidth="2" fitToHeight="2" orientation="landscape" r:id="rId1"/>
  <rowBreaks count="1" manualBreakCount="1">
    <brk id="26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AI37"/>
  <sheetViews>
    <sheetView tabSelected="1" view="pageBreakPreview" zoomScaleSheetLayoutView="100" workbookViewId="0">
      <selection activeCell="H29" sqref="H29"/>
    </sheetView>
  </sheetViews>
  <sheetFormatPr defaultRowHeight="15" x14ac:dyDescent="0.25"/>
  <cols>
    <col min="1" max="1" width="23.5703125" style="78" customWidth="1"/>
    <col min="2" max="5" width="9.140625" style="78"/>
    <col min="6" max="6" width="10.42578125" style="78" customWidth="1"/>
    <col min="7" max="7" width="11.85546875" style="78" customWidth="1"/>
    <col min="8" max="16384" width="9.140625" style="78"/>
  </cols>
  <sheetData>
    <row r="1" spans="1:35" ht="48" customHeight="1" x14ac:dyDescent="0.25">
      <c r="A1" s="250" t="s">
        <v>95</v>
      </c>
      <c r="B1" s="250"/>
      <c r="C1" s="250"/>
      <c r="D1" s="250"/>
      <c r="E1" s="250"/>
      <c r="F1" s="250"/>
      <c r="G1" s="250"/>
    </row>
    <row r="2" spans="1:35" ht="30.75" customHeight="1" x14ac:dyDescent="0.25">
      <c r="A2" s="79" t="s">
        <v>57</v>
      </c>
      <c r="B2" s="264" t="s">
        <v>58</v>
      </c>
      <c r="C2" s="264"/>
      <c r="D2" s="264"/>
      <c r="E2" s="264"/>
      <c r="F2" s="251" t="s">
        <v>96</v>
      </c>
      <c r="G2" s="252"/>
    </row>
    <row r="3" spans="1:35" ht="25.5" x14ac:dyDescent="0.25">
      <c r="A3" s="248"/>
      <c r="B3" s="247" t="s">
        <v>59</v>
      </c>
      <c r="C3" s="225"/>
      <c r="D3" s="247" t="s">
        <v>60</v>
      </c>
      <c r="E3" s="225"/>
      <c r="F3" s="79" t="s">
        <v>59</v>
      </c>
      <c r="G3" s="79" t="s">
        <v>60</v>
      </c>
    </row>
    <row r="4" spans="1:35" x14ac:dyDescent="0.25">
      <c r="A4" s="249"/>
      <c r="B4" s="247" t="s">
        <v>44</v>
      </c>
      <c r="C4" s="225"/>
      <c r="D4" s="247" t="s">
        <v>44</v>
      </c>
      <c r="E4" s="225"/>
      <c r="F4" s="79" t="s">
        <v>44</v>
      </c>
      <c r="G4" s="79" t="s">
        <v>44</v>
      </c>
    </row>
    <row r="5" spans="1:35" ht="25.5" x14ac:dyDescent="0.25">
      <c r="A5" s="80" t="s">
        <v>61</v>
      </c>
      <c r="B5" s="247">
        <v>80</v>
      </c>
      <c r="C5" s="225"/>
      <c r="D5" s="247">
        <v>80</v>
      </c>
      <c r="E5" s="225"/>
      <c r="F5" s="171">
        <v>40</v>
      </c>
      <c r="G5" s="171">
        <v>40</v>
      </c>
    </row>
    <row r="6" spans="1:35" x14ac:dyDescent="0.25">
      <c r="A6" s="80" t="s">
        <v>62</v>
      </c>
      <c r="B6" s="247">
        <v>150</v>
      </c>
      <c r="C6" s="225"/>
      <c r="D6" s="247">
        <v>150</v>
      </c>
      <c r="E6" s="225"/>
      <c r="F6" s="171">
        <f>(70+100+103+78+90+90+70+90+118)/10</f>
        <v>80.900000000000006</v>
      </c>
      <c r="G6" s="171">
        <f>(70+100+103+78+90+90+70+90+118)/10</f>
        <v>80.900000000000006</v>
      </c>
    </row>
    <row r="7" spans="1:35" x14ac:dyDescent="0.25">
      <c r="A7" s="80" t="s">
        <v>63</v>
      </c>
      <c r="B7" s="247">
        <v>15</v>
      </c>
      <c r="C7" s="225"/>
      <c r="D7" s="247">
        <v>15</v>
      </c>
      <c r="E7" s="225"/>
      <c r="F7" s="171">
        <f>(2+89.5+15.6+44.79+9.55+35.71+20.5+18.25+9.6)/10</f>
        <v>24.55</v>
      </c>
      <c r="G7" s="171">
        <v>24.55</v>
      </c>
    </row>
    <row r="8" spans="1:35" s="85" customFormat="1" x14ac:dyDescent="0.25">
      <c r="A8" s="82" t="s">
        <v>64</v>
      </c>
      <c r="B8" s="357">
        <v>45</v>
      </c>
      <c r="C8" s="358"/>
      <c r="D8" s="357">
        <v>45</v>
      </c>
      <c r="E8" s="358"/>
      <c r="F8" s="172">
        <f>(31+33+75+44+54+52+75+49)/10</f>
        <v>41.3</v>
      </c>
      <c r="G8" s="172">
        <v>41.3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x14ac:dyDescent="0.25">
      <c r="A9" s="80" t="s">
        <v>65</v>
      </c>
      <c r="B9" s="247">
        <v>15</v>
      </c>
      <c r="C9" s="225"/>
      <c r="D9" s="247">
        <v>15</v>
      </c>
      <c r="E9" s="225"/>
      <c r="F9" s="171">
        <f>(52.5+10+10+52.5+10)/10</f>
        <v>13.5</v>
      </c>
      <c r="G9" s="171">
        <v>13.5</v>
      </c>
    </row>
    <row r="10" spans="1:35" x14ac:dyDescent="0.25">
      <c r="A10" s="80" t="s">
        <v>66</v>
      </c>
      <c r="B10" s="247" t="s">
        <v>67</v>
      </c>
      <c r="C10" s="225"/>
      <c r="D10" s="355">
        <v>188</v>
      </c>
      <c r="E10" s="356"/>
      <c r="F10" s="171">
        <f>(253.3+33.25+27+40+82.3+238+40+53.4+226.9+100)/10</f>
        <v>109.41500000000001</v>
      </c>
      <c r="G10" s="171">
        <f>(75+170+40+30+179+82.3+30+20+25+190)/10</f>
        <v>84.13</v>
      </c>
    </row>
    <row r="11" spans="1:35" x14ac:dyDescent="0.25">
      <c r="A11" s="80" t="s">
        <v>68</v>
      </c>
      <c r="B11" s="247">
        <v>350</v>
      </c>
      <c r="C11" s="225"/>
      <c r="D11" s="247" t="s">
        <v>69</v>
      </c>
      <c r="E11" s="225"/>
      <c r="F11" s="171">
        <f>(120.3+303.6+221.35+227.85+124.3+138.85+207.85+272.2+249.95+121.05)/10</f>
        <v>198.73</v>
      </c>
      <c r="G11" s="173">
        <f>(69.75+200+218.5+162+111.4+119+121.5+178.9+243.5+88.5)/10</f>
        <v>151.30500000000001</v>
      </c>
    </row>
    <row r="12" spans="1:35" x14ac:dyDescent="0.25">
      <c r="A12" s="80" t="s">
        <v>70</v>
      </c>
      <c r="B12" s="247">
        <v>200</v>
      </c>
      <c r="C12" s="225"/>
      <c r="D12" s="247" t="s">
        <v>71</v>
      </c>
      <c r="E12" s="225"/>
      <c r="F12" s="171">
        <f>(100+135.7+100+135+145.4+134+135.7+135+129+135.7)/10</f>
        <v>128.55000000000001</v>
      </c>
      <c r="G12" s="171">
        <f>(125+129+128+135.7+130+145.4+128.2+100+125+100)/10</f>
        <v>124.63</v>
      </c>
    </row>
    <row r="13" spans="1:35" ht="25.5" x14ac:dyDescent="0.25">
      <c r="A13" s="80" t="s">
        <v>72</v>
      </c>
      <c r="B13" s="247">
        <v>15</v>
      </c>
      <c r="C13" s="225"/>
      <c r="D13" s="247">
        <v>15</v>
      </c>
      <c r="E13" s="225"/>
      <c r="F13" s="171">
        <f>(20.1+5.1+25.6+25.6)/10</f>
        <v>7.6400000000000006</v>
      </c>
      <c r="G13" s="171">
        <f>(37+10+10+37+5+20.1)/10</f>
        <v>11.91</v>
      </c>
    </row>
    <row r="14" spans="1:35" ht="51" x14ac:dyDescent="0.25">
      <c r="A14" s="80" t="s">
        <v>73</v>
      </c>
      <c r="B14" s="247">
        <v>200</v>
      </c>
      <c r="C14" s="225"/>
      <c r="D14" s="247">
        <v>200</v>
      </c>
      <c r="E14" s="225"/>
      <c r="F14" s="171">
        <f>(200+200+200+200+200)/10</f>
        <v>100</v>
      </c>
      <c r="G14" s="171">
        <v>100</v>
      </c>
    </row>
    <row r="15" spans="1:35" ht="25.5" x14ac:dyDescent="0.25">
      <c r="A15" s="80" t="s">
        <v>74</v>
      </c>
      <c r="B15" s="247" t="s">
        <v>75</v>
      </c>
      <c r="C15" s="225"/>
      <c r="D15" s="247">
        <v>70</v>
      </c>
      <c r="E15" s="225"/>
      <c r="F15" s="171">
        <f>(92+40+121+150+121+40+150)/10</f>
        <v>71.400000000000006</v>
      </c>
      <c r="G15" s="171">
        <f>(106+25+96+106+96+25+63)/10</f>
        <v>51.7</v>
      </c>
    </row>
    <row r="16" spans="1:35" ht="38.25" x14ac:dyDescent="0.25">
      <c r="A16" s="80" t="s">
        <v>76</v>
      </c>
      <c r="B16" s="247" t="s">
        <v>77</v>
      </c>
      <c r="C16" s="225"/>
      <c r="D16" s="247">
        <v>35</v>
      </c>
      <c r="E16" s="225"/>
      <c r="F16" s="171">
        <f>(182+40+125)/10</f>
        <v>34.700000000000003</v>
      </c>
      <c r="G16" s="171">
        <f>(60+25+153)/10</f>
        <v>23.8</v>
      </c>
    </row>
    <row r="17" spans="1:7" x14ac:dyDescent="0.25">
      <c r="A17" s="80" t="s">
        <v>78</v>
      </c>
      <c r="B17" s="247">
        <v>60</v>
      </c>
      <c r="C17" s="225"/>
      <c r="D17" s="247">
        <v>58</v>
      </c>
      <c r="E17" s="225"/>
      <c r="F17" s="171">
        <f>(90+246+123)/10</f>
        <v>45.9</v>
      </c>
      <c r="G17" s="171">
        <f>(61+124+66)/10</f>
        <v>25.1</v>
      </c>
    </row>
    <row r="18" spans="1:7" x14ac:dyDescent="0.25">
      <c r="A18" s="80" t="s">
        <v>79</v>
      </c>
      <c r="B18" s="247">
        <v>15</v>
      </c>
      <c r="C18" s="225"/>
      <c r="D18" s="247">
        <v>14.7</v>
      </c>
      <c r="E18" s="225"/>
      <c r="F18" s="171">
        <v>0</v>
      </c>
      <c r="G18" s="171">
        <v>0</v>
      </c>
    </row>
    <row r="19" spans="1:7" ht="25.5" x14ac:dyDescent="0.25">
      <c r="A19" s="80" t="s">
        <v>80</v>
      </c>
      <c r="B19" s="247">
        <v>300</v>
      </c>
      <c r="C19" s="225"/>
      <c r="D19" s="247">
        <v>300</v>
      </c>
      <c r="E19" s="225"/>
      <c r="F19" s="171">
        <f>(435+176+411+100+411+150+125.92+162+102+411)/10</f>
        <v>248.392</v>
      </c>
      <c r="G19" s="171">
        <f>(400+100.5+162+125.92+150+400+100+400+176+446.5)/10</f>
        <v>246.09200000000001</v>
      </c>
    </row>
    <row r="20" spans="1:7" ht="38.25" x14ac:dyDescent="0.25">
      <c r="A20" s="80" t="s">
        <v>81</v>
      </c>
      <c r="B20" s="247">
        <v>150</v>
      </c>
      <c r="C20" s="225"/>
      <c r="D20" s="247">
        <v>150</v>
      </c>
      <c r="E20" s="225"/>
      <c r="F20" s="171">
        <f>(206+237+206+207+206+207)/10</f>
        <v>126.9</v>
      </c>
      <c r="G20" s="171">
        <f>(200+200+200+200+230+200)/10</f>
        <v>123</v>
      </c>
    </row>
    <row r="21" spans="1:7" ht="25.5" x14ac:dyDescent="0.25">
      <c r="A21" s="80" t="s">
        <v>82</v>
      </c>
      <c r="B21" s="247">
        <v>50</v>
      </c>
      <c r="C21" s="225"/>
      <c r="D21" s="247">
        <v>50</v>
      </c>
      <c r="E21" s="225"/>
      <c r="F21" s="171">
        <f>(83.7+113.7)/10</f>
        <v>19.740000000000002</v>
      </c>
      <c r="G21" s="171">
        <f>(112+82)/10</f>
        <v>19.399999999999999</v>
      </c>
    </row>
    <row r="22" spans="1:7" x14ac:dyDescent="0.25">
      <c r="A22" s="80" t="s">
        <v>83</v>
      </c>
      <c r="B22" s="247">
        <v>10</v>
      </c>
      <c r="C22" s="225"/>
      <c r="D22" s="247">
        <v>9.8000000000000007</v>
      </c>
      <c r="E22" s="225"/>
      <c r="F22" s="171">
        <f>(16+16+16)/10</f>
        <v>4.8</v>
      </c>
      <c r="G22" s="173">
        <f>(15+15+15)/10</f>
        <v>4.5</v>
      </c>
    </row>
    <row r="23" spans="1:7" ht="25.5" x14ac:dyDescent="0.25">
      <c r="A23" s="80" t="s">
        <v>84</v>
      </c>
      <c r="B23" s="247">
        <v>10</v>
      </c>
      <c r="C23" s="225"/>
      <c r="D23" s="247">
        <v>10</v>
      </c>
      <c r="E23" s="225"/>
      <c r="F23" s="171">
        <f>(12.5+12.5+12.5+22)/10</f>
        <v>5.95</v>
      </c>
      <c r="G23" s="171">
        <v>5.95</v>
      </c>
    </row>
    <row r="24" spans="1:7" x14ac:dyDescent="0.25">
      <c r="A24" s="80" t="s">
        <v>85</v>
      </c>
      <c r="B24" s="247">
        <v>30</v>
      </c>
      <c r="C24" s="225"/>
      <c r="D24" s="247">
        <v>30</v>
      </c>
      <c r="E24" s="225"/>
      <c r="F24" s="171">
        <f>(25.75+20+28.9+30+20.3+40.75+39.12+31.6+15.25+19.5)/10</f>
        <v>27.116999999999997</v>
      </c>
      <c r="G24" s="171">
        <v>27.12</v>
      </c>
    </row>
    <row r="25" spans="1:7" x14ac:dyDescent="0.25">
      <c r="A25" s="80" t="s">
        <v>86</v>
      </c>
      <c r="B25" s="247">
        <v>15</v>
      </c>
      <c r="C25" s="225"/>
      <c r="D25" s="247">
        <v>15</v>
      </c>
      <c r="E25" s="225"/>
      <c r="F25" s="171">
        <f>(10+24+14.15+5+12.32+15.7+15+17+27+10)/10</f>
        <v>15.017000000000001</v>
      </c>
      <c r="G25" s="171">
        <v>15.02</v>
      </c>
    </row>
    <row r="26" spans="1:7" x14ac:dyDescent="0.25">
      <c r="A26" s="80" t="s">
        <v>87</v>
      </c>
      <c r="B26" s="247" t="s">
        <v>88</v>
      </c>
      <c r="C26" s="225"/>
      <c r="D26" s="247">
        <v>40</v>
      </c>
      <c r="E26" s="225"/>
      <c r="F26" s="171">
        <f>(2.1+3+40+1.6+80.1+40+81.4+9.9+2.1)/10</f>
        <v>26.020000000000003</v>
      </c>
      <c r="G26" s="171">
        <f>26.02</f>
        <v>26.02</v>
      </c>
    </row>
    <row r="27" spans="1:7" x14ac:dyDescent="0.25">
      <c r="A27" s="80" t="s">
        <v>89</v>
      </c>
      <c r="B27" s="247">
        <v>40</v>
      </c>
      <c r="C27" s="225"/>
      <c r="D27" s="355">
        <v>40</v>
      </c>
      <c r="E27" s="356"/>
      <c r="F27" s="171">
        <f>(26+10.75+32.15+32.7+36.6+24.35+54.3+39.5+30+46.36+6)/10</f>
        <v>33.871000000000002</v>
      </c>
      <c r="G27" s="171">
        <v>33.869999999999997</v>
      </c>
    </row>
    <row r="28" spans="1:7" x14ac:dyDescent="0.25">
      <c r="A28" s="80" t="s">
        <v>90</v>
      </c>
      <c r="B28" s="355">
        <v>10</v>
      </c>
      <c r="C28" s="356"/>
      <c r="D28" s="247">
        <v>10</v>
      </c>
      <c r="E28" s="225"/>
      <c r="F28" s="171">
        <f>(20+20+20+15)/10</f>
        <v>7.5</v>
      </c>
      <c r="G28" s="171">
        <v>7.5</v>
      </c>
    </row>
    <row r="29" spans="1:7" x14ac:dyDescent="0.25">
      <c r="A29" s="80" t="s">
        <v>91</v>
      </c>
      <c r="B29" s="247">
        <v>0.4</v>
      </c>
      <c r="C29" s="225"/>
      <c r="D29" s="247">
        <v>0.4</v>
      </c>
      <c r="E29" s="225"/>
      <c r="F29" s="171">
        <f>(0.5+0.5+0.5+0.5)/10</f>
        <v>0.2</v>
      </c>
      <c r="G29" s="171">
        <v>0.2</v>
      </c>
    </row>
    <row r="30" spans="1:7" x14ac:dyDescent="0.25">
      <c r="A30" s="80" t="s">
        <v>92</v>
      </c>
      <c r="B30" s="247">
        <v>1.2</v>
      </c>
      <c r="C30" s="225"/>
      <c r="D30" s="247">
        <v>1.2</v>
      </c>
      <c r="E30" s="225"/>
      <c r="F30" s="171">
        <f>(4+4)/10</f>
        <v>0.8</v>
      </c>
      <c r="G30" s="171">
        <v>0.8</v>
      </c>
    </row>
    <row r="31" spans="1:7" x14ac:dyDescent="0.25">
      <c r="A31" s="80" t="s">
        <v>93</v>
      </c>
      <c r="B31" s="247">
        <v>1</v>
      </c>
      <c r="C31" s="225"/>
      <c r="D31" s="247">
        <v>1</v>
      </c>
      <c r="E31" s="225"/>
      <c r="F31" s="171">
        <f>(0.1+0.56+0.5+0.1+0.1+2.25)/10</f>
        <v>0.36100000000000004</v>
      </c>
      <c r="G31" s="171">
        <v>0.36</v>
      </c>
    </row>
    <row r="32" spans="1:7" x14ac:dyDescent="0.25">
      <c r="A32" s="80" t="s">
        <v>94</v>
      </c>
      <c r="B32" s="247">
        <v>5</v>
      </c>
      <c r="C32" s="225"/>
      <c r="D32" s="247">
        <v>5</v>
      </c>
      <c r="E32" s="225"/>
      <c r="F32" s="171">
        <f>(3.3+3.1+3+3.03+3.2+3.8+3.56+3+3+5)/10</f>
        <v>3.3989999999999996</v>
      </c>
      <c r="G32" s="171">
        <v>3.4</v>
      </c>
    </row>
    <row r="33" spans="1:8" ht="15.75" thickBot="1" x14ac:dyDescent="0.3"/>
    <row r="34" spans="1:8" ht="39" thickBot="1" x14ac:dyDescent="0.3">
      <c r="A34" s="253" t="s">
        <v>51</v>
      </c>
      <c r="B34" s="254"/>
      <c r="C34" s="254"/>
      <c r="D34" s="254"/>
      <c r="E34" s="244" t="s">
        <v>52</v>
      </c>
      <c r="F34" s="245"/>
      <c r="G34" s="246"/>
      <c r="H34" s="38" t="s">
        <v>53</v>
      </c>
    </row>
    <row r="35" spans="1:8" ht="15.75" thickBot="1" x14ac:dyDescent="0.3">
      <c r="A35" s="259"/>
      <c r="B35" s="260"/>
      <c r="C35" s="260"/>
      <c r="D35" s="260"/>
      <c r="E35" s="39" t="s">
        <v>1</v>
      </c>
      <c r="F35" s="39" t="s">
        <v>2</v>
      </c>
      <c r="G35" s="39" t="s">
        <v>3</v>
      </c>
      <c r="H35" s="40"/>
    </row>
    <row r="36" spans="1:8" ht="15.75" thickBot="1" x14ac:dyDescent="0.3">
      <c r="A36" s="228" t="s">
        <v>55</v>
      </c>
      <c r="B36" s="229"/>
      <c r="C36" s="229"/>
      <c r="D36" s="229"/>
      <c r="E36" s="41">
        <f>('1 день'!F26+'2 день'!F25+'3 день'!F25+'4 день'!F25+'5 день'!G25+'6 день'!F25+'7 день'!F24+'8 день'!F25+'9 день'!F25+'10 день'!F25)/10</f>
        <v>26.52</v>
      </c>
      <c r="F36" s="41">
        <f>('1 день'!G26+'2 день'!G25+'3 день'!G25+'4 день'!G25+'5 день'!H25+'6 день'!G25+'7 день'!G24+'8 день'!G25+'9 день'!G25+'10 день'!G25)/10</f>
        <v>28.933000000000003</v>
      </c>
      <c r="G36" s="41">
        <f>('1 день'!H26+'2 день'!H25+'3 день'!H25+'4 день'!H25+'5 день'!I25+'6 день'!H25+'7 день'!H24+'8 день'!H25+'9 день'!H25+'10 день'!H25)/10</f>
        <v>88.301000000000016</v>
      </c>
      <c r="H36" s="41">
        <f>('1 день'!I26+'2 день'!I25+'3 день'!I25+'4 день'!I25+'5 день'!J25+'6 день'!I25+'7 день'!I24+'8 день'!I25+'9 день'!I25+'10 день'!I25)/10</f>
        <v>759.61899999999991</v>
      </c>
    </row>
    <row r="37" spans="1:8" x14ac:dyDescent="0.25">
      <c r="A37"/>
      <c r="B37"/>
      <c r="C37"/>
      <c r="D37"/>
      <c r="E37"/>
      <c r="F37"/>
      <c r="G37"/>
      <c r="H37"/>
    </row>
  </sheetData>
  <mergeCells count="67">
    <mergeCell ref="A1:G1"/>
    <mergeCell ref="B2:E2"/>
    <mergeCell ref="F2:G2"/>
    <mergeCell ref="A3:A4"/>
    <mergeCell ref="B3:C3"/>
    <mergeCell ref="D3:E3"/>
    <mergeCell ref="B4:C4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1:E31"/>
    <mergeCell ref="D32:E32"/>
    <mergeCell ref="B32:C32"/>
    <mergeCell ref="B31:C31"/>
    <mergeCell ref="B30:C30"/>
    <mergeCell ref="B27:C27"/>
    <mergeCell ref="B26:C26"/>
    <mergeCell ref="B25:C25"/>
    <mergeCell ref="D30:E30"/>
    <mergeCell ref="D25:E25"/>
    <mergeCell ref="D26:E26"/>
    <mergeCell ref="D27:E27"/>
    <mergeCell ref="D28:E28"/>
    <mergeCell ref="D29:E29"/>
    <mergeCell ref="B8:C8"/>
    <mergeCell ref="B7:C7"/>
    <mergeCell ref="B6:C6"/>
    <mergeCell ref="B5:C5"/>
    <mergeCell ref="B14:C14"/>
    <mergeCell ref="B13:C13"/>
    <mergeCell ref="B12:C12"/>
    <mergeCell ref="B11:C11"/>
    <mergeCell ref="B10:C10"/>
    <mergeCell ref="A36:D36"/>
    <mergeCell ref="A34:D35"/>
    <mergeCell ref="E34:G34"/>
    <mergeCell ref="B9:C9"/>
    <mergeCell ref="B19:C19"/>
    <mergeCell ref="B18:C18"/>
    <mergeCell ref="B16:C16"/>
    <mergeCell ref="B17:C17"/>
    <mergeCell ref="B15:C15"/>
    <mergeCell ref="B24:C24"/>
    <mergeCell ref="B23:C23"/>
    <mergeCell ref="B22:C22"/>
    <mergeCell ref="B21:C21"/>
    <mergeCell ref="B20:C20"/>
    <mergeCell ref="B28:C28"/>
    <mergeCell ref="B29:C29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O76"/>
  <sheetViews>
    <sheetView view="pageBreakPreview" zoomScale="80" zoomScaleSheetLayoutView="80" workbookViewId="0">
      <selection activeCell="D21" sqref="D21:O21"/>
    </sheetView>
  </sheetViews>
  <sheetFormatPr defaultRowHeight="12.75" x14ac:dyDescent="0.2"/>
  <cols>
    <col min="1" max="1" width="14.7109375" style="27" customWidth="1"/>
    <col min="2" max="2" width="32" style="27" bestFit="1" customWidth="1"/>
    <col min="3" max="3" width="9.28515625" style="27" bestFit="1" customWidth="1"/>
    <col min="4" max="4" width="11.28515625" style="27" bestFit="1" customWidth="1"/>
    <col min="5" max="6" width="9.28515625" style="27" bestFit="1" customWidth="1"/>
    <col min="7" max="7" width="12.7109375" style="27" customWidth="1"/>
    <col min="8" max="8" width="10.85546875" style="27" customWidth="1"/>
    <col min="9" max="9" width="10.7109375" style="27" customWidth="1"/>
    <col min="10" max="10" width="9.28515625" style="27" bestFit="1" customWidth="1"/>
    <col min="11" max="11" width="11.28515625" style="27" customWidth="1"/>
    <col min="12" max="12" width="12.28515625" style="27" customWidth="1"/>
    <col min="13" max="13" width="10.42578125" style="27" bestFit="1" customWidth="1"/>
    <col min="14" max="15" width="9.28515625" style="27" bestFit="1" customWidth="1"/>
    <col min="16" max="16384" width="9.140625" style="27"/>
  </cols>
  <sheetData>
    <row r="1" spans="1:15" x14ac:dyDescent="0.2">
      <c r="A1" s="25" t="s">
        <v>37</v>
      </c>
      <c r="B1" s="26" t="s">
        <v>38</v>
      </c>
    </row>
    <row r="2" spans="1:15" x14ac:dyDescent="0.2">
      <c r="A2" s="25" t="s">
        <v>39</v>
      </c>
      <c r="B2" s="26" t="s">
        <v>40</v>
      </c>
    </row>
    <row r="3" spans="1:15" x14ac:dyDescent="0.2">
      <c r="A3" s="25" t="s">
        <v>41</v>
      </c>
      <c r="B3" s="26" t="s">
        <v>42</v>
      </c>
    </row>
    <row r="4" spans="1:15" ht="25.5" x14ac:dyDescent="0.2">
      <c r="A4" s="25" t="s">
        <v>43</v>
      </c>
      <c r="B4" s="26" t="s">
        <v>44</v>
      </c>
    </row>
    <row r="5" spans="1:15" ht="15.75" customHeight="1" x14ac:dyDescent="0.2">
      <c r="A5" s="233" t="s">
        <v>27</v>
      </c>
      <c r="B5" s="233" t="s">
        <v>18</v>
      </c>
      <c r="C5" s="233" t="s">
        <v>21</v>
      </c>
      <c r="D5" s="230" t="s">
        <v>30</v>
      </c>
      <c r="E5" s="231"/>
      <c r="F5" s="232"/>
      <c r="G5" s="233" t="s">
        <v>0</v>
      </c>
      <c r="H5" s="230" t="s">
        <v>29</v>
      </c>
      <c r="I5" s="231"/>
      <c r="J5" s="231"/>
      <c r="K5" s="232"/>
      <c r="L5" s="230" t="s">
        <v>28</v>
      </c>
      <c r="M5" s="231"/>
      <c r="N5" s="231"/>
      <c r="O5" s="232"/>
    </row>
    <row r="6" spans="1:15" ht="24" customHeight="1" x14ac:dyDescent="0.2">
      <c r="A6" s="234"/>
      <c r="B6" s="240"/>
      <c r="C6" s="239"/>
      <c r="D6" s="28" t="s">
        <v>1</v>
      </c>
      <c r="E6" s="28" t="s">
        <v>2</v>
      </c>
      <c r="F6" s="28" t="s">
        <v>3</v>
      </c>
      <c r="G6" s="234"/>
      <c r="H6" s="28" t="s">
        <v>49</v>
      </c>
      <c r="I6" s="28" t="s">
        <v>4</v>
      </c>
      <c r="J6" s="28" t="s">
        <v>5</v>
      </c>
      <c r="K6" s="28" t="s">
        <v>6</v>
      </c>
      <c r="L6" s="28" t="s">
        <v>7</v>
      </c>
      <c r="M6" s="28" t="s">
        <v>8</v>
      </c>
      <c r="N6" s="28" t="s">
        <v>9</v>
      </c>
      <c r="O6" s="28" t="s">
        <v>10</v>
      </c>
    </row>
    <row r="7" spans="1:15" s="29" customFormat="1" ht="22.5" customHeight="1" x14ac:dyDescent="0.2">
      <c r="A7" s="235" t="s">
        <v>20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</row>
    <row r="8" spans="1:15" s="29" customFormat="1" x14ac:dyDescent="0.2">
      <c r="A8" s="148">
        <v>59</v>
      </c>
      <c r="B8" s="9" t="s">
        <v>104</v>
      </c>
      <c r="C8" s="148">
        <v>100</v>
      </c>
      <c r="D8" s="16">
        <v>1.06</v>
      </c>
      <c r="E8" s="16">
        <v>0.17</v>
      </c>
      <c r="F8" s="16">
        <v>8.52</v>
      </c>
      <c r="G8" s="16">
        <v>39.9</v>
      </c>
      <c r="H8" s="16">
        <v>5.0000000000000001E-3</v>
      </c>
      <c r="I8" s="16">
        <v>4.38</v>
      </c>
      <c r="J8" s="16"/>
      <c r="K8" s="16">
        <v>0.35</v>
      </c>
      <c r="L8" s="16">
        <v>23.99</v>
      </c>
      <c r="M8" s="16">
        <v>44.53</v>
      </c>
      <c r="N8" s="16">
        <v>30.39</v>
      </c>
      <c r="O8" s="16">
        <v>1.07</v>
      </c>
    </row>
    <row r="9" spans="1:15" s="14" customFormat="1" ht="25.5" x14ac:dyDescent="0.25">
      <c r="A9" s="15">
        <v>98</v>
      </c>
      <c r="B9" s="9" t="s">
        <v>108</v>
      </c>
      <c r="C9" s="15">
        <v>250</v>
      </c>
      <c r="D9" s="16">
        <v>2.2799999999999998</v>
      </c>
      <c r="E9" s="16">
        <v>5.12</v>
      </c>
      <c r="F9" s="16">
        <v>6.09</v>
      </c>
      <c r="G9" s="16">
        <v>111.25</v>
      </c>
      <c r="H9" s="16">
        <v>0.04</v>
      </c>
      <c r="I9" s="16">
        <v>9.8800000000000008</v>
      </c>
      <c r="J9" s="16"/>
      <c r="K9" s="16">
        <v>2.2999999999999998</v>
      </c>
      <c r="L9" s="16">
        <v>37.880000000000003</v>
      </c>
      <c r="M9" s="16">
        <v>33.58</v>
      </c>
      <c r="N9" s="16">
        <v>14.18</v>
      </c>
      <c r="O9" s="16">
        <v>0.57999999999999996</v>
      </c>
    </row>
    <row r="10" spans="1:15" s="29" customFormat="1" x14ac:dyDescent="0.2">
      <c r="A10" s="15">
        <v>302</v>
      </c>
      <c r="B10" s="9" t="s">
        <v>16</v>
      </c>
      <c r="C10" s="15">
        <v>150</v>
      </c>
      <c r="D10" s="16">
        <v>8.6</v>
      </c>
      <c r="E10" s="16">
        <v>6.09</v>
      </c>
      <c r="F10" s="16">
        <v>38.64</v>
      </c>
      <c r="G10" s="16">
        <v>243.75</v>
      </c>
      <c r="H10" s="16">
        <v>0.21</v>
      </c>
      <c r="I10" s="16"/>
      <c r="J10" s="16"/>
      <c r="K10" s="16">
        <v>0.61</v>
      </c>
      <c r="L10" s="16">
        <v>14.82</v>
      </c>
      <c r="M10" s="16">
        <v>203.93</v>
      </c>
      <c r="N10" s="16">
        <v>135.83000000000001</v>
      </c>
      <c r="O10" s="16">
        <v>4.5599999999999996</v>
      </c>
    </row>
    <row r="11" spans="1:15" s="14" customFormat="1" ht="15" x14ac:dyDescent="0.25">
      <c r="A11" s="15">
        <v>288</v>
      </c>
      <c r="B11" s="9" t="s">
        <v>99</v>
      </c>
      <c r="C11" s="15">
        <v>110</v>
      </c>
      <c r="D11" s="16">
        <v>23.46</v>
      </c>
      <c r="E11" s="16">
        <v>25.82</v>
      </c>
      <c r="F11" s="16">
        <v>0.5</v>
      </c>
      <c r="G11" s="16">
        <v>328</v>
      </c>
      <c r="H11" s="16">
        <v>0.04</v>
      </c>
      <c r="I11" s="16">
        <v>23.5</v>
      </c>
      <c r="J11" s="16">
        <v>96.2</v>
      </c>
      <c r="K11" s="16">
        <v>0.42</v>
      </c>
      <c r="L11" s="16">
        <v>56</v>
      </c>
      <c r="M11" s="16">
        <v>167.1</v>
      </c>
      <c r="N11" s="16">
        <v>20.28</v>
      </c>
      <c r="O11" s="16">
        <v>1.82</v>
      </c>
    </row>
    <row r="12" spans="1:15" s="29" customFormat="1" x14ac:dyDescent="0.2">
      <c r="A12" s="15">
        <v>375</v>
      </c>
      <c r="B12" s="9" t="s">
        <v>100</v>
      </c>
      <c r="C12" s="15">
        <v>200</v>
      </c>
      <c r="D12" s="16">
        <v>0.4</v>
      </c>
      <c r="E12" s="16">
        <v>0.1</v>
      </c>
      <c r="F12" s="16">
        <v>0.08</v>
      </c>
      <c r="G12" s="16">
        <v>6.4</v>
      </c>
      <c r="H12" s="135" t="s">
        <v>101</v>
      </c>
      <c r="I12" s="16">
        <v>0.2</v>
      </c>
      <c r="J12" s="16"/>
      <c r="K12" s="16"/>
      <c r="L12" s="16">
        <v>19.62</v>
      </c>
      <c r="M12" s="16">
        <v>16.48</v>
      </c>
      <c r="N12" s="16">
        <v>8.8000000000000007</v>
      </c>
      <c r="O12" s="16">
        <v>1.64</v>
      </c>
    </row>
    <row r="13" spans="1:15" s="29" customFormat="1" x14ac:dyDescent="0.2">
      <c r="A13" s="50"/>
      <c r="B13" s="9" t="s">
        <v>14</v>
      </c>
      <c r="C13" s="15">
        <v>40</v>
      </c>
      <c r="D13" s="16">
        <v>2.2400000000000002</v>
      </c>
      <c r="E13" s="16">
        <v>0.88</v>
      </c>
      <c r="F13" s="16">
        <v>19.760000000000002</v>
      </c>
      <c r="G13" s="16">
        <v>91.96</v>
      </c>
      <c r="H13" s="16">
        <v>0.04</v>
      </c>
      <c r="I13" s="16"/>
      <c r="J13" s="16"/>
      <c r="K13" s="16">
        <v>0.36</v>
      </c>
      <c r="L13" s="16">
        <v>9.1999999999999993</v>
      </c>
      <c r="M13" s="16">
        <v>42.4</v>
      </c>
      <c r="N13" s="16">
        <v>10</v>
      </c>
      <c r="O13" s="16">
        <v>1.24</v>
      </c>
    </row>
    <row r="14" spans="1:15" s="14" customFormat="1" ht="15" x14ac:dyDescent="0.25">
      <c r="A14" s="50"/>
      <c r="B14" s="9"/>
      <c r="C14" s="10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29" customFormat="1" x14ac:dyDescent="0.2">
      <c r="A15" s="107" t="s">
        <v>11</v>
      </c>
      <c r="B15" s="108"/>
      <c r="C15" s="108"/>
      <c r="D15" s="109">
        <f>D13+D12+D11+D10+D9+D8</f>
        <v>38.040000000000006</v>
      </c>
      <c r="E15" s="109">
        <f t="shared" ref="E15:O15" si="0">E13+E12+E11+E10+E9+E8</f>
        <v>38.18</v>
      </c>
      <c r="F15" s="109">
        <f t="shared" si="0"/>
        <v>73.59</v>
      </c>
      <c r="G15" s="109">
        <f t="shared" si="0"/>
        <v>821.26</v>
      </c>
      <c r="H15" s="109">
        <f t="shared" si="0"/>
        <v>0.33499999999999996</v>
      </c>
      <c r="I15" s="109">
        <f t="shared" si="0"/>
        <v>37.96</v>
      </c>
      <c r="J15" s="109">
        <f t="shared" si="0"/>
        <v>96.2</v>
      </c>
      <c r="K15" s="109">
        <f t="shared" si="0"/>
        <v>4.04</v>
      </c>
      <c r="L15" s="109">
        <f t="shared" si="0"/>
        <v>161.51</v>
      </c>
      <c r="M15" s="109">
        <f t="shared" si="0"/>
        <v>508.02</v>
      </c>
      <c r="N15" s="109">
        <f t="shared" si="0"/>
        <v>219.48000000000002</v>
      </c>
      <c r="O15" s="109">
        <f t="shared" si="0"/>
        <v>10.91</v>
      </c>
    </row>
    <row r="16" spans="1:15" ht="21.75" customHeight="1" x14ac:dyDescent="0.2">
      <c r="A16" s="237" t="s">
        <v>19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</row>
    <row r="17" spans="1:15" s="46" customFormat="1" x14ac:dyDescent="0.2">
      <c r="A17" s="45"/>
      <c r="B17" s="35"/>
      <c r="C17" s="45"/>
      <c r="D17" s="118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s="29" customFormat="1" ht="15" customHeight="1" x14ac:dyDescent="0.2">
      <c r="A18" s="158"/>
      <c r="B18" s="9"/>
      <c r="C18" s="158"/>
      <c r="D18" s="16"/>
      <c r="E18" s="16"/>
      <c r="F18" s="16"/>
      <c r="G18" s="16"/>
      <c r="H18" s="177"/>
      <c r="I18" s="16"/>
      <c r="J18" s="16"/>
      <c r="K18" s="16"/>
      <c r="L18" s="16"/>
      <c r="M18" s="16"/>
      <c r="N18" s="16"/>
      <c r="O18" s="16"/>
    </row>
    <row r="19" spans="1:15" s="29" customFormat="1" x14ac:dyDescent="0.2">
      <c r="A19" s="15"/>
      <c r="B19" s="9"/>
      <c r="C19" s="15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">
      <c r="A20" s="107" t="s">
        <v>50</v>
      </c>
      <c r="B20" s="108"/>
      <c r="C20" s="108"/>
      <c r="D20" s="109">
        <f>SUM(D17:D19)</f>
        <v>0</v>
      </c>
      <c r="E20" s="109">
        <f t="shared" ref="E20:O20" si="1">SUM(E17:E19)</f>
        <v>0</v>
      </c>
      <c r="F20" s="109">
        <f t="shared" si="1"/>
        <v>0</v>
      </c>
      <c r="G20" s="109">
        <f t="shared" si="1"/>
        <v>0</v>
      </c>
      <c r="H20" s="109">
        <f t="shared" si="1"/>
        <v>0</v>
      </c>
      <c r="I20" s="109">
        <f t="shared" si="1"/>
        <v>0</v>
      </c>
      <c r="J20" s="109">
        <f t="shared" si="1"/>
        <v>0</v>
      </c>
      <c r="K20" s="109">
        <f t="shared" si="1"/>
        <v>0</v>
      </c>
      <c r="L20" s="109">
        <f t="shared" si="1"/>
        <v>0</v>
      </c>
      <c r="M20" s="109">
        <f t="shared" si="1"/>
        <v>0</v>
      </c>
      <c r="N20" s="109">
        <f t="shared" si="1"/>
        <v>0</v>
      </c>
      <c r="O20" s="109">
        <f t="shared" si="1"/>
        <v>0</v>
      </c>
    </row>
    <row r="21" spans="1:15" x14ac:dyDescent="0.2">
      <c r="A21" s="32" t="s">
        <v>15</v>
      </c>
      <c r="B21" s="33"/>
      <c r="C21" s="33"/>
      <c r="D21" s="34">
        <f>D15+D20</f>
        <v>38.040000000000006</v>
      </c>
      <c r="E21" s="34">
        <f t="shared" ref="E21:O21" si="2">E15+E20</f>
        <v>38.18</v>
      </c>
      <c r="F21" s="34">
        <f t="shared" si="2"/>
        <v>73.59</v>
      </c>
      <c r="G21" s="34">
        <f t="shared" si="2"/>
        <v>821.26</v>
      </c>
      <c r="H21" s="34">
        <f t="shared" si="2"/>
        <v>0.33499999999999996</v>
      </c>
      <c r="I21" s="34">
        <f t="shared" si="2"/>
        <v>37.96</v>
      </c>
      <c r="J21" s="34">
        <f t="shared" si="2"/>
        <v>96.2</v>
      </c>
      <c r="K21" s="34">
        <f t="shared" si="2"/>
        <v>4.04</v>
      </c>
      <c r="L21" s="34">
        <f t="shared" si="2"/>
        <v>161.51</v>
      </c>
      <c r="M21" s="34">
        <f t="shared" si="2"/>
        <v>508.02</v>
      </c>
      <c r="N21" s="34">
        <f t="shared" si="2"/>
        <v>219.48000000000002</v>
      </c>
      <c r="O21" s="34">
        <f t="shared" si="2"/>
        <v>10.91</v>
      </c>
    </row>
    <row r="22" spans="1:15" ht="13.5" thickBot="1" x14ac:dyDescent="0.25"/>
    <row r="23" spans="1:15" ht="39" customHeight="1" thickBot="1" x14ac:dyDescent="0.25">
      <c r="B23" s="253" t="s">
        <v>51</v>
      </c>
      <c r="C23" s="254"/>
      <c r="D23" s="254"/>
      <c r="E23" s="255"/>
      <c r="F23" s="244" t="s">
        <v>52</v>
      </c>
      <c r="G23" s="245"/>
      <c r="H23" s="246"/>
      <c r="I23" s="241" t="s">
        <v>53</v>
      </c>
      <c r="K23" s="25" t="s">
        <v>37</v>
      </c>
      <c r="L23" s="26" t="s">
        <v>38</v>
      </c>
    </row>
    <row r="24" spans="1:15" ht="13.5" customHeight="1" x14ac:dyDescent="0.2">
      <c r="B24" s="256"/>
      <c r="C24" s="257"/>
      <c r="D24" s="257"/>
      <c r="E24" s="258"/>
      <c r="F24" s="262" t="s">
        <v>1</v>
      </c>
      <c r="G24" s="262" t="s">
        <v>2</v>
      </c>
      <c r="H24" s="262" t="s">
        <v>3</v>
      </c>
      <c r="I24" s="242"/>
      <c r="K24" s="25" t="s">
        <v>39</v>
      </c>
      <c r="L24" s="26" t="s">
        <v>40</v>
      </c>
    </row>
    <row r="25" spans="1:15" ht="26.25" customHeight="1" thickBot="1" x14ac:dyDescent="0.25">
      <c r="B25" s="259"/>
      <c r="C25" s="260"/>
      <c r="D25" s="260"/>
      <c r="E25" s="261"/>
      <c r="F25" s="263"/>
      <c r="G25" s="263"/>
      <c r="H25" s="263"/>
      <c r="I25" s="243"/>
      <c r="K25" s="25" t="s">
        <v>41</v>
      </c>
      <c r="L25" s="26" t="s">
        <v>42</v>
      </c>
    </row>
    <row r="26" spans="1:15" ht="26.25" thickBot="1" x14ac:dyDescent="0.25">
      <c r="B26" s="228" t="s">
        <v>126</v>
      </c>
      <c r="C26" s="229"/>
      <c r="D26" s="229"/>
      <c r="E26" s="229"/>
      <c r="F26" s="41">
        <f>D21</f>
        <v>38.040000000000006</v>
      </c>
      <c r="G26" s="41">
        <f>E21</f>
        <v>38.18</v>
      </c>
      <c r="H26" s="41">
        <f>F21</f>
        <v>73.59</v>
      </c>
      <c r="I26" s="41">
        <f>G21</f>
        <v>821.26</v>
      </c>
      <c r="K26" s="25" t="s">
        <v>43</v>
      </c>
      <c r="L26" s="26" t="s">
        <v>44</v>
      </c>
    </row>
    <row r="27" spans="1:15" x14ac:dyDescent="0.2">
      <c r="O27" s="47"/>
    </row>
    <row r="28" spans="1:15" ht="28.5" customHeight="1" x14ac:dyDescent="0.2">
      <c r="B28" s="250" t="s">
        <v>95</v>
      </c>
      <c r="C28" s="250"/>
      <c r="D28" s="250"/>
      <c r="E28" s="250"/>
      <c r="F28" s="250"/>
      <c r="G28" s="250"/>
      <c r="H28" s="250"/>
      <c r="I28" s="48"/>
      <c r="J28" s="48"/>
      <c r="K28" s="48"/>
      <c r="L28" s="48"/>
      <c r="M28" s="48"/>
      <c r="N28" s="48"/>
      <c r="O28" s="48"/>
    </row>
    <row r="29" spans="1:15" x14ac:dyDescent="0.2">
      <c r="B29" s="79" t="s">
        <v>57</v>
      </c>
      <c r="C29" s="264" t="s">
        <v>58</v>
      </c>
      <c r="D29" s="264"/>
      <c r="E29" s="264"/>
      <c r="F29" s="264"/>
      <c r="G29" s="251" t="s">
        <v>96</v>
      </c>
      <c r="H29" s="252"/>
    </row>
    <row r="30" spans="1:15" ht="25.5" x14ac:dyDescent="0.2">
      <c r="B30" s="248"/>
      <c r="C30" s="247" t="s">
        <v>59</v>
      </c>
      <c r="D30" s="225"/>
      <c r="E30" s="247" t="s">
        <v>60</v>
      </c>
      <c r="F30" s="225"/>
      <c r="G30" s="79" t="s">
        <v>59</v>
      </c>
      <c r="H30" s="79" t="s">
        <v>60</v>
      </c>
      <c r="J30" s="49"/>
    </row>
    <row r="31" spans="1:15" x14ac:dyDescent="0.2">
      <c r="B31" s="249"/>
      <c r="C31" s="224" t="s">
        <v>109</v>
      </c>
      <c r="D31" s="225"/>
      <c r="E31" s="224" t="s">
        <v>109</v>
      </c>
      <c r="F31" s="225"/>
      <c r="G31" s="162" t="s">
        <v>109</v>
      </c>
      <c r="H31" s="162" t="s">
        <v>109</v>
      </c>
    </row>
    <row r="32" spans="1:15" x14ac:dyDescent="0.2">
      <c r="B32" s="80" t="s">
        <v>61</v>
      </c>
      <c r="C32" s="222">
        <v>80</v>
      </c>
      <c r="D32" s="223"/>
      <c r="E32" s="222">
        <v>80</v>
      </c>
      <c r="F32" s="223"/>
      <c r="G32" s="81">
        <f>40</f>
        <v>40</v>
      </c>
      <c r="H32" s="81">
        <v>40</v>
      </c>
    </row>
    <row r="33" spans="2:10" x14ac:dyDescent="0.2">
      <c r="B33" s="80" t="s">
        <v>62</v>
      </c>
      <c r="C33" s="222">
        <v>150</v>
      </c>
      <c r="D33" s="223"/>
      <c r="E33" s="222">
        <v>150</v>
      </c>
      <c r="F33" s="223"/>
      <c r="G33" s="81" t="e">
        <f>#REF!+C14</f>
        <v>#REF!</v>
      </c>
      <c r="H33" s="81">
        <f>70</f>
        <v>70</v>
      </c>
    </row>
    <row r="34" spans="2:10" x14ac:dyDescent="0.2">
      <c r="B34" s="80" t="s">
        <v>63</v>
      </c>
      <c r="C34" s="222">
        <v>15</v>
      </c>
      <c r="D34" s="223"/>
      <c r="E34" s="222">
        <v>15</v>
      </c>
      <c r="F34" s="223"/>
      <c r="G34" s="81">
        <f>2</f>
        <v>2</v>
      </c>
      <c r="H34" s="81">
        <v>2</v>
      </c>
    </row>
    <row r="35" spans="2:10" x14ac:dyDescent="0.2">
      <c r="B35" s="82" t="s">
        <v>64</v>
      </c>
      <c r="C35" s="226">
        <v>45</v>
      </c>
      <c r="D35" s="227"/>
      <c r="E35" s="226">
        <v>45</v>
      </c>
      <c r="F35" s="227"/>
      <c r="G35" s="83">
        <f>44+5</f>
        <v>49</v>
      </c>
      <c r="H35" s="83">
        <v>49</v>
      </c>
    </row>
    <row r="36" spans="2:10" x14ac:dyDescent="0.2">
      <c r="B36" s="80" t="s">
        <v>65</v>
      </c>
      <c r="C36" s="222">
        <v>15</v>
      </c>
      <c r="D36" s="223"/>
      <c r="E36" s="222">
        <v>15</v>
      </c>
      <c r="F36" s="223"/>
      <c r="G36" s="81">
        <v>52.5</v>
      </c>
      <c r="H36" s="81">
        <v>52.5</v>
      </c>
    </row>
    <row r="37" spans="2:10" ht="12.75" customHeight="1" x14ac:dyDescent="0.2">
      <c r="B37" s="80" t="s">
        <v>66</v>
      </c>
      <c r="C37" s="222" t="s">
        <v>67</v>
      </c>
      <c r="D37" s="223"/>
      <c r="E37" s="220">
        <v>188</v>
      </c>
      <c r="F37" s="221"/>
      <c r="G37" s="81">
        <v>100</v>
      </c>
      <c r="H37" s="81">
        <v>75</v>
      </c>
    </row>
    <row r="38" spans="2:10" x14ac:dyDescent="0.2">
      <c r="B38" s="80" t="s">
        <v>68</v>
      </c>
      <c r="C38" s="222">
        <v>350</v>
      </c>
      <c r="D38" s="223"/>
      <c r="E38" s="222" t="s">
        <v>69</v>
      </c>
      <c r="F38" s="223"/>
      <c r="G38" s="81">
        <f>16.75+12.5+6+43.8+12+12+3+2.5+12.5</f>
        <v>121.05</v>
      </c>
      <c r="H38" s="102">
        <f>2+2+10+10+10.75+10+15+10</f>
        <v>69.75</v>
      </c>
    </row>
    <row r="39" spans="2:10" x14ac:dyDescent="0.2">
      <c r="B39" s="80" t="s">
        <v>70</v>
      </c>
      <c r="C39" s="222">
        <v>200</v>
      </c>
      <c r="D39" s="223"/>
      <c r="E39" s="222" t="s">
        <v>71</v>
      </c>
      <c r="F39" s="223"/>
      <c r="G39" s="81">
        <f>100+35.7</f>
        <v>135.69999999999999</v>
      </c>
      <c r="H39" s="81">
        <f>100+25</f>
        <v>125</v>
      </c>
    </row>
    <row r="40" spans="2:10" ht="25.5" x14ac:dyDescent="0.2">
      <c r="B40" s="80" t="s">
        <v>72</v>
      </c>
      <c r="C40" s="222">
        <v>15</v>
      </c>
      <c r="D40" s="223"/>
      <c r="E40" s="222">
        <v>15</v>
      </c>
      <c r="F40" s="223"/>
      <c r="G40" s="81">
        <v>20</v>
      </c>
      <c r="H40" s="81">
        <v>37</v>
      </c>
      <c r="J40" s="136"/>
    </row>
    <row r="41" spans="2:10" ht="38.25" x14ac:dyDescent="0.2">
      <c r="B41" s="80" t="s">
        <v>73</v>
      </c>
      <c r="C41" s="222">
        <v>200</v>
      </c>
      <c r="D41" s="223"/>
      <c r="E41" s="222">
        <v>200</v>
      </c>
      <c r="F41" s="223"/>
      <c r="G41" s="81"/>
      <c r="H41" s="81"/>
    </row>
    <row r="42" spans="2:10" ht="25.5" x14ac:dyDescent="0.2">
      <c r="B42" s="80" t="s">
        <v>74</v>
      </c>
      <c r="C42" s="222" t="s">
        <v>75</v>
      </c>
      <c r="D42" s="223"/>
      <c r="E42" s="222">
        <v>70</v>
      </c>
      <c r="F42" s="223"/>
      <c r="G42" s="102">
        <f>150</f>
        <v>150</v>
      </c>
      <c r="H42" s="81">
        <f>81+25</f>
        <v>106</v>
      </c>
    </row>
    <row r="43" spans="2:10" ht="25.5" x14ac:dyDescent="0.2">
      <c r="B43" s="80" t="s">
        <v>76</v>
      </c>
      <c r="C43" s="222" t="s">
        <v>77</v>
      </c>
      <c r="D43" s="223"/>
      <c r="E43" s="222">
        <v>35</v>
      </c>
      <c r="F43" s="223"/>
      <c r="G43" s="81"/>
      <c r="H43" s="81"/>
    </row>
    <row r="44" spans="2:10" x14ac:dyDescent="0.2">
      <c r="B44" s="80" t="s">
        <v>78</v>
      </c>
      <c r="C44" s="222">
        <v>60</v>
      </c>
      <c r="D44" s="223"/>
      <c r="E44" s="222">
        <v>58</v>
      </c>
      <c r="F44" s="223"/>
      <c r="G44" s="81"/>
      <c r="H44" s="81"/>
    </row>
    <row r="45" spans="2:10" x14ac:dyDescent="0.2">
      <c r="B45" s="80" t="s">
        <v>79</v>
      </c>
      <c r="C45" s="222">
        <v>15</v>
      </c>
      <c r="D45" s="223"/>
      <c r="E45" s="222">
        <v>14.7</v>
      </c>
      <c r="F45" s="223"/>
      <c r="G45" s="81"/>
      <c r="H45" s="81"/>
    </row>
    <row r="46" spans="2:10" ht="25.5" x14ac:dyDescent="0.2">
      <c r="B46" s="80" t="s">
        <v>80</v>
      </c>
      <c r="C46" s="222">
        <v>300</v>
      </c>
      <c r="D46" s="223"/>
      <c r="E46" s="222">
        <v>300</v>
      </c>
      <c r="F46" s="223"/>
      <c r="G46" s="81">
        <f>211+100+100</f>
        <v>411</v>
      </c>
      <c r="H46" s="81">
        <f>200+100+100</f>
        <v>400</v>
      </c>
    </row>
    <row r="47" spans="2:10" ht="25.5" x14ac:dyDescent="0.2">
      <c r="B47" s="80" t="s">
        <v>81</v>
      </c>
      <c r="C47" s="222">
        <v>150</v>
      </c>
      <c r="D47" s="223"/>
      <c r="E47" s="222">
        <v>150</v>
      </c>
      <c r="F47" s="223"/>
      <c r="G47" s="81"/>
      <c r="H47" s="81"/>
    </row>
    <row r="48" spans="2:10" ht="25.5" x14ac:dyDescent="0.2">
      <c r="B48" s="80" t="s">
        <v>82</v>
      </c>
      <c r="C48" s="222">
        <v>50</v>
      </c>
      <c r="D48" s="223"/>
      <c r="E48" s="222">
        <v>50</v>
      </c>
      <c r="F48" s="223"/>
      <c r="G48" s="81"/>
      <c r="H48" s="81"/>
    </row>
    <row r="49" spans="2:8" x14ac:dyDescent="0.2">
      <c r="B49" s="80" t="s">
        <v>83</v>
      </c>
      <c r="C49" s="222">
        <v>10</v>
      </c>
      <c r="D49" s="223"/>
      <c r="E49" s="222">
        <v>9.8000000000000007</v>
      </c>
      <c r="F49" s="223"/>
      <c r="G49" s="81">
        <v>16</v>
      </c>
      <c r="H49" s="102">
        <v>15</v>
      </c>
    </row>
    <row r="50" spans="2:8" ht="25.5" x14ac:dyDescent="0.2">
      <c r="B50" s="80" t="s">
        <v>84</v>
      </c>
      <c r="C50" s="222">
        <v>10</v>
      </c>
      <c r="D50" s="223"/>
      <c r="E50" s="222">
        <v>10</v>
      </c>
      <c r="F50" s="223"/>
      <c r="G50" s="86"/>
      <c r="H50" s="86"/>
    </row>
    <row r="51" spans="2:8" x14ac:dyDescent="0.2">
      <c r="B51" s="80" t="s">
        <v>85</v>
      </c>
      <c r="C51" s="222">
        <v>30</v>
      </c>
      <c r="D51" s="223"/>
      <c r="E51" s="222">
        <v>30</v>
      </c>
      <c r="F51" s="223"/>
      <c r="G51" s="81">
        <f>4.5+5+10</f>
        <v>19.5</v>
      </c>
      <c r="H51" s="81">
        <v>19.5</v>
      </c>
    </row>
    <row r="52" spans="2:8" x14ac:dyDescent="0.2">
      <c r="B52" s="80" t="s">
        <v>86</v>
      </c>
      <c r="C52" s="222">
        <v>15</v>
      </c>
      <c r="D52" s="223"/>
      <c r="E52" s="222">
        <v>15</v>
      </c>
      <c r="F52" s="223"/>
      <c r="G52" s="81">
        <v>10</v>
      </c>
      <c r="H52" s="81">
        <v>10</v>
      </c>
    </row>
    <row r="53" spans="2:8" x14ac:dyDescent="0.2">
      <c r="B53" s="80" t="s">
        <v>87</v>
      </c>
      <c r="C53" s="222" t="s">
        <v>88</v>
      </c>
      <c r="D53" s="223"/>
      <c r="E53" s="222">
        <v>40</v>
      </c>
      <c r="F53" s="223"/>
      <c r="G53" s="81">
        <f>2.1</f>
        <v>2.1</v>
      </c>
      <c r="H53" s="81">
        <v>2.1</v>
      </c>
    </row>
    <row r="54" spans="2:8" x14ac:dyDescent="0.2">
      <c r="B54" s="80" t="s">
        <v>89</v>
      </c>
      <c r="C54" s="222">
        <v>40</v>
      </c>
      <c r="D54" s="223"/>
      <c r="E54" s="220">
        <v>40</v>
      </c>
      <c r="F54" s="221"/>
      <c r="G54" s="102">
        <f>20+6</f>
        <v>26</v>
      </c>
      <c r="H54" s="81">
        <v>26</v>
      </c>
    </row>
    <row r="55" spans="2:8" x14ac:dyDescent="0.2">
      <c r="B55" s="80" t="s">
        <v>90</v>
      </c>
      <c r="C55" s="220">
        <v>10</v>
      </c>
      <c r="D55" s="221"/>
      <c r="E55" s="222">
        <v>10</v>
      </c>
      <c r="F55" s="223"/>
      <c r="G55" s="81">
        <v>20</v>
      </c>
      <c r="H55" s="81">
        <v>20</v>
      </c>
    </row>
    <row r="56" spans="2:8" x14ac:dyDescent="0.2">
      <c r="B56" s="80" t="s">
        <v>91</v>
      </c>
      <c r="C56" s="222">
        <v>0.4</v>
      </c>
      <c r="D56" s="223"/>
      <c r="E56" s="222">
        <v>0.4</v>
      </c>
      <c r="F56" s="223"/>
      <c r="G56" s="81"/>
      <c r="H56" s="81"/>
    </row>
    <row r="57" spans="2:8" x14ac:dyDescent="0.2">
      <c r="B57" s="80" t="s">
        <v>92</v>
      </c>
      <c r="C57" s="222">
        <v>1.2</v>
      </c>
      <c r="D57" s="223"/>
      <c r="E57" s="222">
        <v>1.2</v>
      </c>
      <c r="F57" s="223"/>
      <c r="G57" s="81">
        <v>4</v>
      </c>
      <c r="H57" s="81">
        <v>4</v>
      </c>
    </row>
    <row r="58" spans="2:8" x14ac:dyDescent="0.2">
      <c r="B58" s="80" t="s">
        <v>93</v>
      </c>
      <c r="C58" s="222">
        <v>1</v>
      </c>
      <c r="D58" s="223"/>
      <c r="E58" s="222">
        <v>1</v>
      </c>
      <c r="F58" s="223"/>
      <c r="G58" s="81"/>
      <c r="H58" s="81"/>
    </row>
    <row r="59" spans="2:8" x14ac:dyDescent="0.2">
      <c r="B59" s="80" t="s">
        <v>94</v>
      </c>
      <c r="C59" s="222">
        <v>5</v>
      </c>
      <c r="D59" s="223"/>
      <c r="E59" s="222">
        <v>5</v>
      </c>
      <c r="F59" s="223"/>
      <c r="G59" s="81">
        <v>5</v>
      </c>
      <c r="H59" s="81">
        <v>5</v>
      </c>
    </row>
    <row r="67" spans="2:6" ht="15" x14ac:dyDescent="0.25">
      <c r="B67"/>
      <c r="C67"/>
      <c r="D67"/>
      <c r="E67"/>
      <c r="F67"/>
    </row>
    <row r="68" spans="2:6" ht="15" x14ac:dyDescent="0.25">
      <c r="B68" s="4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 s="48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 s="48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 s="48"/>
      <c r="C74"/>
      <c r="D74"/>
      <c r="E74"/>
      <c r="F74"/>
    </row>
    <row r="75" spans="2:6" ht="15" x14ac:dyDescent="0.25">
      <c r="B75"/>
      <c r="C75"/>
      <c r="D75"/>
      <c r="E75"/>
      <c r="F75"/>
    </row>
    <row r="76" spans="2:6" ht="15" x14ac:dyDescent="0.25">
      <c r="B76" s="48"/>
      <c r="C76"/>
      <c r="D76"/>
      <c r="E76"/>
      <c r="F76"/>
    </row>
  </sheetData>
  <sheetProtection formatCells="0" formatColumns="0" formatRows="0" insertColumns="0" insertRows="0" insertHyperlinks="0" deleteColumns="0" deleteRows="0" sort="0" autoFilter="0" pivotTables="0"/>
  <mergeCells count="80">
    <mergeCell ref="F24:F25"/>
    <mergeCell ref="G24:G25"/>
    <mergeCell ref="H24:H25"/>
    <mergeCell ref="C29:F29"/>
    <mergeCell ref="E30:F30"/>
    <mergeCell ref="B30:B31"/>
    <mergeCell ref="B28:H28"/>
    <mergeCell ref="G29:H29"/>
    <mergeCell ref="C31:D31"/>
    <mergeCell ref="C30:D30"/>
    <mergeCell ref="B26:E26"/>
    <mergeCell ref="L5:O5"/>
    <mergeCell ref="G5:G6"/>
    <mergeCell ref="D5:F5"/>
    <mergeCell ref="A7:O7"/>
    <mergeCell ref="A16:O16"/>
    <mergeCell ref="H5:K5"/>
    <mergeCell ref="C5:C6"/>
    <mergeCell ref="B5:B6"/>
    <mergeCell ref="A5:A6"/>
    <mergeCell ref="I23:I25"/>
    <mergeCell ref="F23:H23"/>
    <mergeCell ref="B23:E25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E48:F48"/>
    <mergeCell ref="C57:D57"/>
    <mergeCell ref="C58:D58"/>
    <mergeCell ref="C59:D59"/>
    <mergeCell ref="E31:F31"/>
    <mergeCell ref="E32:F32"/>
    <mergeCell ref="E33:F33"/>
    <mergeCell ref="E34:F34"/>
    <mergeCell ref="E35:F35"/>
    <mergeCell ref="E36:F36"/>
    <mergeCell ref="E38:F38"/>
    <mergeCell ref="E39:F39"/>
    <mergeCell ref="E40:F40"/>
    <mergeCell ref="E41:F41"/>
    <mergeCell ref="E42:F42"/>
    <mergeCell ref="E43:F43"/>
    <mergeCell ref="E37:F37"/>
    <mergeCell ref="E59:F59"/>
    <mergeCell ref="E54:F54"/>
    <mergeCell ref="E55:F55"/>
    <mergeCell ref="E56:F56"/>
    <mergeCell ref="E57:F57"/>
    <mergeCell ref="E58:F58"/>
    <mergeCell ref="E49:F49"/>
    <mergeCell ref="E50:F50"/>
    <mergeCell ref="E51:F51"/>
    <mergeCell ref="E52:F52"/>
    <mergeCell ref="E53:F53"/>
    <mergeCell ref="E44:F44"/>
    <mergeCell ref="E45:F45"/>
    <mergeCell ref="E46:F46"/>
    <mergeCell ref="E47:F4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S64"/>
  <sheetViews>
    <sheetView view="pageBreakPreview" zoomScale="80" zoomScaleNormal="80" zoomScaleSheetLayoutView="80" workbookViewId="0">
      <selection activeCell="D21" sqref="D21:O21"/>
    </sheetView>
  </sheetViews>
  <sheetFormatPr defaultRowHeight="15" x14ac:dyDescent="0.25"/>
  <cols>
    <col min="1" max="1" width="13.85546875" style="64" bestFit="1" customWidth="1"/>
    <col min="2" max="2" width="28.7109375" style="64" customWidth="1"/>
    <col min="3" max="3" width="15.7109375" style="90" bestFit="1" customWidth="1"/>
    <col min="4" max="4" width="9.28515625" style="64" bestFit="1" customWidth="1"/>
    <col min="5" max="5" width="9.140625" style="64"/>
    <col min="6" max="6" width="10.28515625" style="64" bestFit="1" customWidth="1"/>
    <col min="7" max="7" width="13" style="64" customWidth="1"/>
    <col min="8" max="8" width="10.42578125" style="64" customWidth="1"/>
    <col min="9" max="9" width="12.140625" style="64" customWidth="1"/>
    <col min="10" max="11" width="9.140625" style="64"/>
    <col min="12" max="14" width="10.140625" style="64" bestFit="1" customWidth="1"/>
    <col min="15" max="16384" width="9.140625" style="64"/>
  </cols>
  <sheetData>
    <row r="1" spans="1:19" ht="15.75" x14ac:dyDescent="0.25">
      <c r="A1" s="62" t="s">
        <v>37</v>
      </c>
      <c r="B1" s="63" t="s">
        <v>45</v>
      </c>
    </row>
    <row r="2" spans="1:19" ht="15.75" x14ac:dyDescent="0.25">
      <c r="A2" s="62" t="s">
        <v>39</v>
      </c>
      <c r="B2" s="63" t="s">
        <v>40</v>
      </c>
    </row>
    <row r="3" spans="1:19" ht="15.75" x14ac:dyDescent="0.25">
      <c r="A3" s="62" t="s">
        <v>41</v>
      </c>
      <c r="B3" s="63" t="s">
        <v>42</v>
      </c>
    </row>
    <row r="4" spans="1:19" ht="31.5" x14ac:dyDescent="0.25">
      <c r="A4" s="62" t="s">
        <v>43</v>
      </c>
      <c r="B4" s="12" t="s">
        <v>44</v>
      </c>
    </row>
    <row r="5" spans="1:19" ht="15.75" x14ac:dyDescent="0.25">
      <c r="A5" s="279" t="s">
        <v>27</v>
      </c>
      <c r="B5" s="279" t="s">
        <v>18</v>
      </c>
      <c r="C5" s="282" t="s">
        <v>21</v>
      </c>
      <c r="D5" s="276" t="s">
        <v>30</v>
      </c>
      <c r="E5" s="277"/>
      <c r="F5" s="278"/>
      <c r="G5" s="279" t="s">
        <v>0</v>
      </c>
      <c r="H5" s="276" t="s">
        <v>29</v>
      </c>
      <c r="I5" s="277"/>
      <c r="J5" s="277"/>
      <c r="K5" s="278"/>
      <c r="L5" s="276" t="s">
        <v>28</v>
      </c>
      <c r="M5" s="277"/>
      <c r="N5" s="277"/>
      <c r="O5" s="278"/>
    </row>
    <row r="6" spans="1:19" ht="15.75" x14ac:dyDescent="0.25">
      <c r="A6" s="280"/>
      <c r="B6" s="281"/>
      <c r="C6" s="283"/>
      <c r="D6" s="65" t="s">
        <v>1</v>
      </c>
      <c r="E6" s="65" t="s">
        <v>2</v>
      </c>
      <c r="F6" s="65" t="s">
        <v>3</v>
      </c>
      <c r="G6" s="280"/>
      <c r="H6" s="65" t="s">
        <v>97</v>
      </c>
      <c r="I6" s="65" t="s">
        <v>4</v>
      </c>
      <c r="J6" s="65" t="s">
        <v>5</v>
      </c>
      <c r="K6" s="65" t="s">
        <v>6</v>
      </c>
      <c r="L6" s="65" t="s">
        <v>7</v>
      </c>
      <c r="M6" s="65" t="s">
        <v>8</v>
      </c>
      <c r="N6" s="65" t="s">
        <v>9</v>
      </c>
      <c r="O6" s="65" t="s">
        <v>10</v>
      </c>
    </row>
    <row r="7" spans="1:19" ht="18.75" x14ac:dyDescent="0.25">
      <c r="A7" s="265" t="s">
        <v>20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87"/>
      <c r="Q7" s="87"/>
      <c r="R7" s="87"/>
      <c r="S7" s="87"/>
    </row>
    <row r="8" spans="1:19" s="70" customFormat="1" ht="25.5" x14ac:dyDescent="0.25">
      <c r="A8" s="66">
        <v>45</v>
      </c>
      <c r="B8" s="9" t="s">
        <v>105</v>
      </c>
      <c r="C8" s="91">
        <v>100</v>
      </c>
      <c r="D8" s="67">
        <v>1.31</v>
      </c>
      <c r="E8" s="67">
        <v>3.25</v>
      </c>
      <c r="F8" s="67">
        <v>6.5</v>
      </c>
      <c r="G8" s="67">
        <v>60.4</v>
      </c>
      <c r="H8" s="67">
        <v>0.02</v>
      </c>
      <c r="I8" s="67">
        <v>17.010000000000002</v>
      </c>
      <c r="J8" s="67"/>
      <c r="K8" s="67">
        <v>8.39</v>
      </c>
      <c r="L8" s="67">
        <v>24.97</v>
      </c>
      <c r="M8" s="67">
        <v>28.3</v>
      </c>
      <c r="N8" s="67">
        <v>15.09</v>
      </c>
      <c r="O8" s="94">
        <v>0.47</v>
      </c>
      <c r="P8" s="95"/>
      <c r="Q8" s="95"/>
      <c r="R8" s="95"/>
      <c r="S8" s="95"/>
    </row>
    <row r="9" spans="1:19" ht="56.25" customHeight="1" x14ac:dyDescent="0.25">
      <c r="A9" s="71">
        <v>112</v>
      </c>
      <c r="B9" s="137" t="s">
        <v>102</v>
      </c>
      <c r="C9" s="145">
        <v>250</v>
      </c>
      <c r="D9" s="69">
        <v>3.37</v>
      </c>
      <c r="E9" s="69">
        <v>2.98</v>
      </c>
      <c r="F9" s="69">
        <v>15.69</v>
      </c>
      <c r="G9" s="69">
        <v>144</v>
      </c>
      <c r="H9" s="69">
        <v>0.09</v>
      </c>
      <c r="I9" s="69">
        <v>6.08</v>
      </c>
      <c r="J9" s="69"/>
      <c r="K9" s="69">
        <v>1.45</v>
      </c>
      <c r="L9" s="69">
        <v>31.5</v>
      </c>
      <c r="M9" s="69">
        <v>57.73</v>
      </c>
      <c r="N9" s="69">
        <v>23.8</v>
      </c>
      <c r="O9" s="69">
        <v>1</v>
      </c>
    </row>
    <row r="10" spans="1:19" s="70" customFormat="1" x14ac:dyDescent="0.25">
      <c r="A10" s="66">
        <v>312</v>
      </c>
      <c r="B10" s="9" t="s">
        <v>13</v>
      </c>
      <c r="C10" s="146">
        <v>150</v>
      </c>
      <c r="D10" s="67">
        <v>3.07</v>
      </c>
      <c r="E10" s="67">
        <v>0.02</v>
      </c>
      <c r="F10" s="67">
        <v>20.440000000000001</v>
      </c>
      <c r="G10" s="67">
        <v>137.25</v>
      </c>
      <c r="H10" s="67">
        <v>0.14000000000000001</v>
      </c>
      <c r="I10" s="67">
        <v>18.16</v>
      </c>
      <c r="J10" s="67"/>
      <c r="K10" s="67">
        <v>0.18</v>
      </c>
      <c r="L10" s="67">
        <v>36.979999999999997</v>
      </c>
      <c r="M10" s="67">
        <v>86.6</v>
      </c>
      <c r="N10" s="67">
        <v>27.75</v>
      </c>
      <c r="O10" s="67">
        <v>1.01</v>
      </c>
    </row>
    <row r="11" spans="1:19" s="153" customFormat="1" ht="25.5" x14ac:dyDescent="0.25">
      <c r="A11" s="149">
        <v>229</v>
      </c>
      <c r="B11" s="150" t="s">
        <v>115</v>
      </c>
      <c r="C11" s="151">
        <v>100</v>
      </c>
      <c r="D11" s="152">
        <v>9.75</v>
      </c>
      <c r="E11" s="152">
        <v>4.95</v>
      </c>
      <c r="F11" s="152">
        <v>3.8</v>
      </c>
      <c r="G11" s="152">
        <v>105</v>
      </c>
      <c r="H11" s="152">
        <v>0.05</v>
      </c>
      <c r="I11" s="152">
        <v>3.73</v>
      </c>
      <c r="J11" s="152">
        <v>5.82</v>
      </c>
      <c r="K11" s="152">
        <v>2.52</v>
      </c>
      <c r="L11" s="152">
        <v>39.07</v>
      </c>
      <c r="M11" s="152">
        <v>162.19</v>
      </c>
      <c r="N11" s="152">
        <v>48.53</v>
      </c>
      <c r="O11" s="152">
        <v>0.85</v>
      </c>
    </row>
    <row r="12" spans="1:19" s="14" customFormat="1" ht="14.25" customHeight="1" x14ac:dyDescent="0.25">
      <c r="A12" s="158">
        <v>389</v>
      </c>
      <c r="B12" s="9" t="s">
        <v>122</v>
      </c>
      <c r="C12" s="142">
        <v>200</v>
      </c>
      <c r="D12" s="16">
        <v>1</v>
      </c>
      <c r="E12" s="16">
        <v>0</v>
      </c>
      <c r="F12" s="16">
        <v>20.2</v>
      </c>
      <c r="G12" s="16">
        <v>84.8</v>
      </c>
      <c r="H12" s="163" t="s">
        <v>123</v>
      </c>
      <c r="I12" s="16">
        <v>6</v>
      </c>
      <c r="J12" s="16">
        <v>0</v>
      </c>
      <c r="K12" s="16">
        <v>0.2</v>
      </c>
      <c r="L12" s="16">
        <v>14</v>
      </c>
      <c r="M12" s="16">
        <v>14</v>
      </c>
      <c r="N12" s="16">
        <v>8</v>
      </c>
      <c r="O12" s="16">
        <v>2.8</v>
      </c>
    </row>
    <row r="13" spans="1:19" s="29" customFormat="1" ht="12.75" x14ac:dyDescent="0.2">
      <c r="A13" s="50"/>
      <c r="B13" s="9" t="s">
        <v>14</v>
      </c>
      <c r="C13" s="158">
        <v>40</v>
      </c>
      <c r="D13" s="16">
        <v>2.2400000000000002</v>
      </c>
      <c r="E13" s="16">
        <v>0.88</v>
      </c>
      <c r="F13" s="16">
        <v>19.760000000000002</v>
      </c>
      <c r="G13" s="16">
        <v>91.96</v>
      </c>
      <c r="H13" s="16">
        <v>0.04</v>
      </c>
      <c r="I13" s="16"/>
      <c r="J13" s="16"/>
      <c r="K13" s="16">
        <v>0.36</v>
      </c>
      <c r="L13" s="16">
        <v>9.1999999999999993</v>
      </c>
      <c r="M13" s="16">
        <v>42.4</v>
      </c>
      <c r="N13" s="16">
        <v>10</v>
      </c>
      <c r="O13" s="16">
        <v>1.24</v>
      </c>
    </row>
    <row r="14" spans="1:19" s="14" customFormat="1" x14ac:dyDescent="0.25">
      <c r="A14" s="50"/>
      <c r="B14" s="9"/>
      <c r="C14" s="10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9" s="70" customFormat="1" x14ac:dyDescent="0.25">
      <c r="A15" s="107" t="s">
        <v>11</v>
      </c>
      <c r="B15" s="174"/>
      <c r="C15" s="175"/>
      <c r="D15" s="176">
        <f>D13+D12+D11+D10+D9+D8</f>
        <v>20.74</v>
      </c>
      <c r="E15" s="176">
        <f t="shared" ref="E15:O15" si="0">E13+E12+E11+E10+E9+E8</f>
        <v>12.08</v>
      </c>
      <c r="F15" s="176">
        <f t="shared" si="0"/>
        <v>86.39</v>
      </c>
      <c r="G15" s="176">
        <f t="shared" si="0"/>
        <v>623.41</v>
      </c>
      <c r="H15" s="176">
        <f t="shared" si="0"/>
        <v>0.36199999999999999</v>
      </c>
      <c r="I15" s="176">
        <f t="shared" si="0"/>
        <v>50.980000000000004</v>
      </c>
      <c r="J15" s="176">
        <f t="shared" si="0"/>
        <v>5.82</v>
      </c>
      <c r="K15" s="176">
        <f t="shared" si="0"/>
        <v>13.100000000000001</v>
      </c>
      <c r="L15" s="176">
        <f t="shared" si="0"/>
        <v>155.72</v>
      </c>
      <c r="M15" s="176">
        <f t="shared" si="0"/>
        <v>391.22</v>
      </c>
      <c r="N15" s="176">
        <f t="shared" si="0"/>
        <v>133.16999999999999</v>
      </c>
      <c r="O15" s="176">
        <f t="shared" si="0"/>
        <v>7.3699999999999992</v>
      </c>
    </row>
    <row r="16" spans="1:19" s="70" customFormat="1" ht="18.75" x14ac:dyDescent="0.25">
      <c r="A16" s="265" t="s">
        <v>19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6"/>
    </row>
    <row r="17" spans="1:15" s="68" customFormat="1" ht="12.75" x14ac:dyDescent="0.2">
      <c r="A17" s="45"/>
      <c r="B17" s="35"/>
      <c r="C17" s="45"/>
      <c r="D17" s="118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s="70" customFormat="1" x14ac:dyDescent="0.25">
      <c r="A18" s="158"/>
      <c r="B18" s="9"/>
      <c r="C18" s="158"/>
      <c r="D18" s="16"/>
      <c r="E18" s="16"/>
      <c r="F18" s="16"/>
      <c r="G18" s="16"/>
      <c r="H18" s="135"/>
      <c r="I18" s="16"/>
      <c r="J18" s="16"/>
      <c r="K18" s="16"/>
      <c r="L18" s="16"/>
      <c r="M18" s="16"/>
      <c r="N18" s="16"/>
      <c r="O18" s="16"/>
    </row>
    <row r="19" spans="1:15" s="70" customFormat="1" x14ac:dyDescent="0.25">
      <c r="A19" s="158"/>
      <c r="B19" s="9"/>
      <c r="C19" s="16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5">
      <c r="A20" s="107" t="s">
        <v>11</v>
      </c>
      <c r="B20" s="107"/>
      <c r="C20" s="178"/>
      <c r="D20" s="179">
        <f>D17+D18+D19</f>
        <v>0</v>
      </c>
      <c r="E20" s="179">
        <f t="shared" ref="E20:O20" si="1">E17+E18+E19</f>
        <v>0</v>
      </c>
      <c r="F20" s="179">
        <f t="shared" si="1"/>
        <v>0</v>
      </c>
      <c r="G20" s="179">
        <f t="shared" si="1"/>
        <v>0</v>
      </c>
      <c r="H20" s="179">
        <f t="shared" si="1"/>
        <v>0</v>
      </c>
      <c r="I20" s="179">
        <f t="shared" si="1"/>
        <v>0</v>
      </c>
      <c r="J20" s="179">
        <f t="shared" si="1"/>
        <v>0</v>
      </c>
      <c r="K20" s="179">
        <f t="shared" si="1"/>
        <v>0</v>
      </c>
      <c r="L20" s="179">
        <f t="shared" si="1"/>
        <v>0</v>
      </c>
      <c r="M20" s="179">
        <f t="shared" si="1"/>
        <v>0</v>
      </c>
      <c r="N20" s="179">
        <f t="shared" si="1"/>
        <v>0</v>
      </c>
      <c r="O20" s="179">
        <f t="shared" si="1"/>
        <v>0</v>
      </c>
    </row>
    <row r="21" spans="1:15" ht="15" customHeight="1" x14ac:dyDescent="0.25">
      <c r="A21" s="73" t="s">
        <v>15</v>
      </c>
      <c r="B21" s="72"/>
      <c r="C21" s="92"/>
      <c r="D21" s="165">
        <f>D15+D20</f>
        <v>20.74</v>
      </c>
      <c r="E21" s="165">
        <f t="shared" ref="E21:O21" si="2">E15+E20</f>
        <v>12.08</v>
      </c>
      <c r="F21" s="165">
        <f t="shared" si="2"/>
        <v>86.39</v>
      </c>
      <c r="G21" s="165">
        <f t="shared" si="2"/>
        <v>623.41</v>
      </c>
      <c r="H21" s="165">
        <f t="shared" si="2"/>
        <v>0.36199999999999999</v>
      </c>
      <c r="I21" s="165">
        <f t="shared" si="2"/>
        <v>50.980000000000004</v>
      </c>
      <c r="J21" s="165">
        <f t="shared" si="2"/>
        <v>5.82</v>
      </c>
      <c r="K21" s="165">
        <f t="shared" si="2"/>
        <v>13.100000000000001</v>
      </c>
      <c r="L21" s="165">
        <f t="shared" si="2"/>
        <v>155.72</v>
      </c>
      <c r="M21" s="165">
        <f t="shared" si="2"/>
        <v>391.22</v>
      </c>
      <c r="N21" s="165">
        <f t="shared" si="2"/>
        <v>133.16999999999999</v>
      </c>
      <c r="O21" s="165">
        <f t="shared" si="2"/>
        <v>7.3699999999999992</v>
      </c>
    </row>
    <row r="22" spans="1:15" ht="15.75" thickBot="1" x14ac:dyDescent="0.3"/>
    <row r="23" spans="1:15" ht="26.25" thickBot="1" x14ac:dyDescent="0.3">
      <c r="B23" s="267" t="s">
        <v>51</v>
      </c>
      <c r="C23" s="268"/>
      <c r="D23" s="268"/>
      <c r="E23" s="268"/>
      <c r="F23" s="271" t="s">
        <v>52</v>
      </c>
      <c r="G23" s="272"/>
      <c r="H23" s="273"/>
      <c r="I23" s="74" t="s">
        <v>53</v>
      </c>
    </row>
    <row r="24" spans="1:15" ht="15.75" thickBot="1" x14ac:dyDescent="0.3">
      <c r="B24" s="269"/>
      <c r="C24" s="270"/>
      <c r="D24" s="270"/>
      <c r="E24" s="270"/>
      <c r="F24" s="75" t="s">
        <v>1</v>
      </c>
      <c r="G24" s="75" t="s">
        <v>2</v>
      </c>
      <c r="H24" s="75" t="s">
        <v>3</v>
      </c>
      <c r="I24" s="76"/>
    </row>
    <row r="25" spans="1:15" ht="15.75" thickBot="1" x14ac:dyDescent="0.3">
      <c r="B25" s="274" t="s">
        <v>54</v>
      </c>
      <c r="C25" s="275"/>
      <c r="D25" s="275"/>
      <c r="E25" s="275"/>
      <c r="F25" s="77">
        <f>D21</f>
        <v>20.74</v>
      </c>
      <c r="G25" s="77">
        <f>E21</f>
        <v>12.08</v>
      </c>
      <c r="H25" s="77">
        <f>F21</f>
        <v>86.39</v>
      </c>
      <c r="I25" s="77">
        <f>G21</f>
        <v>623.41</v>
      </c>
    </row>
    <row r="27" spans="1:15" ht="40.5" customHeight="1" x14ac:dyDescent="0.25">
      <c r="A27" s="87"/>
      <c r="B27" s="250" t="s">
        <v>95</v>
      </c>
      <c r="C27" s="250"/>
      <c r="D27" s="250"/>
      <c r="E27" s="250"/>
      <c r="F27" s="250"/>
      <c r="G27" s="250"/>
      <c r="H27" s="250"/>
      <c r="J27" s="62" t="s">
        <v>37</v>
      </c>
      <c r="K27" s="63" t="s">
        <v>45</v>
      </c>
    </row>
    <row r="28" spans="1:15" ht="26.25" customHeight="1" x14ac:dyDescent="0.25">
      <c r="A28" s="87"/>
      <c r="B28" s="79" t="s">
        <v>57</v>
      </c>
      <c r="C28" s="264" t="s">
        <v>58</v>
      </c>
      <c r="D28" s="264"/>
      <c r="E28" s="264"/>
      <c r="F28" s="264"/>
      <c r="G28" s="251" t="s">
        <v>96</v>
      </c>
      <c r="H28" s="252"/>
      <c r="J28" s="62" t="s">
        <v>39</v>
      </c>
      <c r="K28" s="63" t="s">
        <v>40</v>
      </c>
    </row>
    <row r="29" spans="1:15" ht="30" x14ac:dyDescent="0.25">
      <c r="A29" s="87"/>
      <c r="B29" s="248"/>
      <c r="C29" s="247" t="s">
        <v>59</v>
      </c>
      <c r="D29" s="225"/>
      <c r="E29" s="247" t="s">
        <v>60</v>
      </c>
      <c r="F29" s="225"/>
      <c r="G29" s="79" t="s">
        <v>59</v>
      </c>
      <c r="H29" s="79" t="s">
        <v>60</v>
      </c>
      <c r="J29" s="62" t="s">
        <v>41</v>
      </c>
      <c r="K29" s="63" t="s">
        <v>42</v>
      </c>
    </row>
    <row r="30" spans="1:15" ht="30.75" customHeight="1" x14ac:dyDescent="0.25">
      <c r="A30" s="87"/>
      <c r="B30" s="249"/>
      <c r="C30" s="224" t="s">
        <v>109</v>
      </c>
      <c r="D30" s="225"/>
      <c r="E30" s="224" t="s">
        <v>109</v>
      </c>
      <c r="F30" s="225"/>
      <c r="G30" s="162" t="s">
        <v>109</v>
      </c>
      <c r="H30" s="162" t="s">
        <v>109</v>
      </c>
      <c r="J30" s="62" t="s">
        <v>43</v>
      </c>
      <c r="K30" s="12" t="s">
        <v>44</v>
      </c>
    </row>
    <row r="31" spans="1:15" ht="25.5" x14ac:dyDescent="0.25">
      <c r="A31" s="87"/>
      <c r="B31" s="80" t="s">
        <v>61</v>
      </c>
      <c r="C31" s="222">
        <v>80</v>
      </c>
      <c r="D31" s="223"/>
      <c r="E31" s="222">
        <v>80</v>
      </c>
      <c r="F31" s="223"/>
      <c r="G31" s="81">
        <v>40</v>
      </c>
      <c r="H31" s="81">
        <v>40</v>
      </c>
    </row>
    <row r="32" spans="1:15" x14ac:dyDescent="0.25">
      <c r="A32" s="87"/>
      <c r="B32" s="80" t="s">
        <v>62</v>
      </c>
      <c r="C32" s="222">
        <v>150</v>
      </c>
      <c r="D32" s="223"/>
      <c r="E32" s="222">
        <v>150</v>
      </c>
      <c r="F32" s="223"/>
      <c r="G32" s="81">
        <v>100</v>
      </c>
      <c r="H32" s="81">
        <v>100</v>
      </c>
    </row>
    <row r="33" spans="1:8" x14ac:dyDescent="0.25">
      <c r="A33" s="87"/>
      <c r="B33" s="80" t="s">
        <v>63</v>
      </c>
      <c r="C33" s="222">
        <v>15</v>
      </c>
      <c r="D33" s="223"/>
      <c r="E33" s="222">
        <v>15</v>
      </c>
      <c r="F33" s="223"/>
      <c r="G33" s="81">
        <f>78+11.5</f>
        <v>89.5</v>
      </c>
      <c r="H33" s="81">
        <f>78+11.5</f>
        <v>89.5</v>
      </c>
    </row>
    <row r="34" spans="1:8" x14ac:dyDescent="0.25">
      <c r="A34" s="87"/>
      <c r="B34" s="82" t="s">
        <v>64</v>
      </c>
      <c r="C34" s="226">
        <v>45</v>
      </c>
      <c r="D34" s="227"/>
      <c r="E34" s="226">
        <v>45</v>
      </c>
      <c r="F34" s="227"/>
      <c r="G34" s="83"/>
      <c r="H34" s="83"/>
    </row>
    <row r="35" spans="1:8" x14ac:dyDescent="0.25">
      <c r="A35" s="87"/>
      <c r="B35" s="80" t="s">
        <v>65</v>
      </c>
      <c r="C35" s="222">
        <v>15</v>
      </c>
      <c r="D35" s="223"/>
      <c r="E35" s="222">
        <v>15</v>
      </c>
      <c r="F35" s="223"/>
      <c r="G35" s="81"/>
      <c r="H35" s="81"/>
    </row>
    <row r="36" spans="1:8" x14ac:dyDescent="0.25">
      <c r="A36" s="87"/>
      <c r="B36" s="80" t="s">
        <v>66</v>
      </c>
      <c r="C36" s="222" t="s">
        <v>67</v>
      </c>
      <c r="D36" s="223"/>
      <c r="E36" s="220">
        <v>188</v>
      </c>
      <c r="F36" s="221"/>
      <c r="G36" s="81">
        <f>171+27+28.9</f>
        <v>226.9</v>
      </c>
      <c r="H36" s="81">
        <f>20+21+129</f>
        <v>170</v>
      </c>
    </row>
    <row r="37" spans="1:8" x14ac:dyDescent="0.25">
      <c r="A37" s="87"/>
      <c r="B37" s="80" t="s">
        <v>68</v>
      </c>
      <c r="C37" s="222">
        <v>350</v>
      </c>
      <c r="D37" s="223"/>
      <c r="E37" s="222" t="s">
        <v>69</v>
      </c>
      <c r="F37" s="223"/>
      <c r="G37" s="81">
        <f>50+25+12.5+3.25+12+7.5+19.1+12.6+18.8+21.4+18.8+23+4+2+10+10</f>
        <v>249.95000000000002</v>
      </c>
      <c r="H37" s="102">
        <f>40+20+10+2.5+10+7.5+15+10+15+15+15+18+3+1+8+10</f>
        <v>200</v>
      </c>
    </row>
    <row r="38" spans="1:8" x14ac:dyDescent="0.25">
      <c r="A38" s="87"/>
      <c r="B38" s="80" t="s">
        <v>70</v>
      </c>
      <c r="C38" s="222">
        <v>200</v>
      </c>
      <c r="D38" s="223"/>
      <c r="E38" s="222" t="s">
        <v>71</v>
      </c>
      <c r="F38" s="223"/>
      <c r="G38" s="81">
        <f>100+21+8</f>
        <v>129</v>
      </c>
      <c r="H38" s="81">
        <v>129</v>
      </c>
    </row>
    <row r="39" spans="1:8" ht="25.5" x14ac:dyDescent="0.25">
      <c r="A39" s="87"/>
      <c r="B39" s="80" t="s">
        <v>72</v>
      </c>
      <c r="C39" s="222">
        <v>15</v>
      </c>
      <c r="D39" s="223"/>
      <c r="E39" s="222">
        <v>15</v>
      </c>
      <c r="F39" s="223"/>
      <c r="G39" s="81"/>
      <c r="H39" s="81"/>
    </row>
    <row r="40" spans="1:8" ht="38.25" x14ac:dyDescent="0.25">
      <c r="A40" s="87"/>
      <c r="B40" s="80" t="s">
        <v>73</v>
      </c>
      <c r="C40" s="222">
        <v>200</v>
      </c>
      <c r="D40" s="223"/>
      <c r="E40" s="222">
        <v>200</v>
      </c>
      <c r="F40" s="223"/>
      <c r="G40" s="81">
        <v>200</v>
      </c>
      <c r="H40" s="81">
        <v>200</v>
      </c>
    </row>
    <row r="41" spans="1:8" ht="25.5" x14ac:dyDescent="0.25">
      <c r="A41" s="87"/>
      <c r="B41" s="80" t="s">
        <v>74</v>
      </c>
      <c r="C41" s="222" t="s">
        <v>75</v>
      </c>
      <c r="D41" s="223"/>
      <c r="E41" s="222">
        <v>70</v>
      </c>
      <c r="F41" s="223"/>
      <c r="G41" s="81">
        <v>40</v>
      </c>
      <c r="H41" s="81">
        <v>25</v>
      </c>
    </row>
    <row r="42" spans="1:8" ht="25.5" x14ac:dyDescent="0.25">
      <c r="A42" s="87"/>
      <c r="B42" s="80" t="s">
        <v>76</v>
      </c>
      <c r="C42" s="222" t="s">
        <v>77</v>
      </c>
      <c r="D42" s="223"/>
      <c r="E42" s="222">
        <v>35</v>
      </c>
      <c r="F42" s="223"/>
      <c r="G42" s="81"/>
      <c r="H42" s="81"/>
    </row>
    <row r="43" spans="1:8" x14ac:dyDescent="0.25">
      <c r="A43" s="87"/>
      <c r="B43" s="80" t="s">
        <v>78</v>
      </c>
      <c r="C43" s="222">
        <v>60</v>
      </c>
      <c r="D43" s="223"/>
      <c r="E43" s="222">
        <v>58</v>
      </c>
      <c r="F43" s="223"/>
      <c r="G43" s="81">
        <v>123</v>
      </c>
      <c r="H43" s="81">
        <v>61</v>
      </c>
    </row>
    <row r="44" spans="1:8" x14ac:dyDescent="0.25">
      <c r="A44" s="87"/>
      <c r="B44" s="80" t="s">
        <v>79</v>
      </c>
      <c r="C44" s="222">
        <v>15</v>
      </c>
      <c r="D44" s="223"/>
      <c r="E44" s="222">
        <v>14.7</v>
      </c>
      <c r="F44" s="223"/>
      <c r="G44" s="81"/>
      <c r="H44" s="81"/>
    </row>
    <row r="45" spans="1:8" ht="25.5" x14ac:dyDescent="0.25">
      <c r="A45" s="87"/>
      <c r="B45" s="80" t="s">
        <v>80</v>
      </c>
      <c r="C45" s="222">
        <v>300</v>
      </c>
      <c r="D45" s="223"/>
      <c r="E45" s="222">
        <v>300</v>
      </c>
      <c r="F45" s="223"/>
      <c r="G45" s="81">
        <f>78+24</f>
        <v>102</v>
      </c>
      <c r="H45" s="81">
        <f>78+22.5</f>
        <v>100.5</v>
      </c>
    </row>
    <row r="46" spans="1:8" ht="25.5" x14ac:dyDescent="0.25">
      <c r="A46" s="87"/>
      <c r="B46" s="80" t="s">
        <v>81</v>
      </c>
      <c r="C46" s="222">
        <v>150</v>
      </c>
      <c r="D46" s="223"/>
      <c r="E46" s="222">
        <v>150</v>
      </c>
      <c r="F46" s="223"/>
      <c r="G46" s="81">
        <v>207</v>
      </c>
      <c r="H46" s="81">
        <v>200</v>
      </c>
    </row>
    <row r="47" spans="1:8" ht="25.5" x14ac:dyDescent="0.25">
      <c r="A47" s="87"/>
      <c r="B47" s="80" t="s">
        <v>82</v>
      </c>
      <c r="C47" s="222">
        <v>50</v>
      </c>
      <c r="D47" s="223"/>
      <c r="E47" s="222">
        <v>50</v>
      </c>
      <c r="F47" s="223"/>
      <c r="G47" s="81">
        <f>83.7+30</f>
        <v>113.7</v>
      </c>
      <c r="H47" s="81">
        <f>82+30</f>
        <v>112</v>
      </c>
    </row>
    <row r="48" spans="1:8" x14ac:dyDescent="0.25">
      <c r="A48" s="87"/>
      <c r="B48" s="80" t="s">
        <v>83</v>
      </c>
      <c r="C48" s="222">
        <v>10</v>
      </c>
      <c r="D48" s="223"/>
      <c r="E48" s="222">
        <v>9.8000000000000007</v>
      </c>
      <c r="F48" s="223"/>
      <c r="G48" s="81"/>
      <c r="H48" s="102"/>
    </row>
    <row r="49" spans="1:8" ht="25.5" x14ac:dyDescent="0.25">
      <c r="A49" s="87"/>
      <c r="B49" s="80" t="s">
        <v>84</v>
      </c>
      <c r="C49" s="222">
        <v>10</v>
      </c>
      <c r="D49" s="223"/>
      <c r="E49" s="222">
        <v>10</v>
      </c>
      <c r="F49" s="223"/>
      <c r="G49" s="86"/>
      <c r="H49" s="86"/>
    </row>
    <row r="50" spans="1:8" x14ac:dyDescent="0.25">
      <c r="A50" s="87"/>
      <c r="B50" s="80" t="s">
        <v>85</v>
      </c>
      <c r="C50" s="222">
        <v>30</v>
      </c>
      <c r="D50" s="223"/>
      <c r="E50" s="222">
        <v>30</v>
      </c>
      <c r="F50" s="223"/>
      <c r="G50" s="81">
        <f>10+5.25</f>
        <v>15.25</v>
      </c>
      <c r="H50" s="81">
        <v>15.25</v>
      </c>
    </row>
    <row r="51" spans="1:8" x14ac:dyDescent="0.25">
      <c r="A51" s="87"/>
      <c r="B51" s="80" t="s">
        <v>86</v>
      </c>
      <c r="C51" s="222">
        <v>15</v>
      </c>
      <c r="D51" s="223"/>
      <c r="E51" s="222">
        <v>15</v>
      </c>
      <c r="F51" s="223"/>
      <c r="G51" s="102">
        <f>9+5+10</f>
        <v>24</v>
      </c>
      <c r="H51" s="81">
        <v>24</v>
      </c>
    </row>
    <row r="52" spans="1:8" x14ac:dyDescent="0.25">
      <c r="A52" s="87"/>
      <c r="B52" s="80" t="s">
        <v>87</v>
      </c>
      <c r="C52" s="222" t="s">
        <v>88</v>
      </c>
      <c r="D52" s="223"/>
      <c r="E52" s="222">
        <v>40</v>
      </c>
      <c r="F52" s="223"/>
      <c r="G52" s="81">
        <f>3.9+6</f>
        <v>9.9</v>
      </c>
      <c r="H52" s="81">
        <f>3.9+6</f>
        <v>9.9</v>
      </c>
    </row>
    <row r="53" spans="1:8" x14ac:dyDescent="0.25">
      <c r="A53" s="87"/>
      <c r="B53" s="80" t="s">
        <v>89</v>
      </c>
      <c r="C53" s="222">
        <v>40</v>
      </c>
      <c r="D53" s="223"/>
      <c r="E53" s="220">
        <v>40</v>
      </c>
      <c r="F53" s="221"/>
      <c r="G53" s="81">
        <f>2.75+6+2+1</f>
        <v>11.75</v>
      </c>
      <c r="H53" s="81">
        <v>11.75</v>
      </c>
    </row>
    <row r="54" spans="1:8" x14ac:dyDescent="0.25">
      <c r="A54" s="87"/>
      <c r="B54" s="80" t="s">
        <v>90</v>
      </c>
      <c r="C54" s="220">
        <v>10</v>
      </c>
      <c r="D54" s="221"/>
      <c r="E54" s="222">
        <v>10</v>
      </c>
      <c r="F54" s="223"/>
      <c r="G54" s="81">
        <v>15</v>
      </c>
      <c r="H54" s="81">
        <v>15</v>
      </c>
    </row>
    <row r="55" spans="1:8" x14ac:dyDescent="0.25">
      <c r="A55" s="87"/>
      <c r="B55" s="80" t="s">
        <v>91</v>
      </c>
      <c r="C55" s="222">
        <v>0.4</v>
      </c>
      <c r="D55" s="223"/>
      <c r="E55" s="222">
        <v>0.4</v>
      </c>
      <c r="F55" s="223"/>
      <c r="G55" s="81">
        <v>0.5</v>
      </c>
      <c r="H55" s="81">
        <v>0.5</v>
      </c>
    </row>
    <row r="56" spans="1:8" x14ac:dyDescent="0.25">
      <c r="A56" s="87"/>
      <c r="B56" s="80" t="s">
        <v>92</v>
      </c>
      <c r="C56" s="222">
        <v>1.2</v>
      </c>
      <c r="D56" s="223"/>
      <c r="E56" s="222">
        <v>1.2</v>
      </c>
      <c r="F56" s="223"/>
      <c r="G56" s="81"/>
      <c r="H56" s="81"/>
    </row>
    <row r="57" spans="1:8" x14ac:dyDescent="0.25">
      <c r="A57" s="87"/>
      <c r="B57" s="80" t="s">
        <v>93</v>
      </c>
      <c r="C57" s="222">
        <v>1</v>
      </c>
      <c r="D57" s="223"/>
      <c r="E57" s="222">
        <v>1</v>
      </c>
      <c r="F57" s="223"/>
      <c r="G57" s="81">
        <v>2.25</v>
      </c>
      <c r="H57" s="81">
        <v>2.25</v>
      </c>
    </row>
    <row r="58" spans="1:8" x14ac:dyDescent="0.25">
      <c r="A58" s="87"/>
      <c r="B58" s="80" t="s">
        <v>94</v>
      </c>
      <c r="C58" s="222">
        <v>5</v>
      </c>
      <c r="D58" s="223"/>
      <c r="E58" s="222">
        <v>5</v>
      </c>
      <c r="F58" s="223"/>
      <c r="G58" s="81">
        <f>1.5+0.8+1</f>
        <v>3.3</v>
      </c>
      <c r="H58" s="81">
        <v>3.3</v>
      </c>
    </row>
    <row r="59" spans="1:8" x14ac:dyDescent="0.25">
      <c r="A59" s="87"/>
      <c r="B59" s="87"/>
      <c r="C59" s="93"/>
      <c r="D59" s="87"/>
      <c r="E59" s="87"/>
      <c r="F59" s="87"/>
      <c r="G59" s="88"/>
      <c r="H59" s="87"/>
    </row>
    <row r="60" spans="1:8" x14ac:dyDescent="0.25">
      <c r="A60" s="87"/>
      <c r="B60" s="87"/>
      <c r="C60" s="93"/>
      <c r="D60" s="87"/>
      <c r="E60" s="87"/>
      <c r="F60" s="87"/>
      <c r="G60" s="87"/>
      <c r="H60" s="87"/>
    </row>
    <row r="61" spans="1:8" x14ac:dyDescent="0.25">
      <c r="A61" s="87"/>
      <c r="B61" s="87"/>
      <c r="C61" s="93"/>
      <c r="D61" s="87"/>
      <c r="E61" s="87"/>
      <c r="F61" s="87"/>
      <c r="G61" s="87"/>
      <c r="H61" s="87"/>
    </row>
    <row r="62" spans="1:8" x14ac:dyDescent="0.25">
      <c r="A62" s="87"/>
      <c r="B62" s="87"/>
      <c r="C62" s="93"/>
      <c r="D62" s="87"/>
      <c r="E62" s="87"/>
      <c r="F62" s="87"/>
      <c r="G62" s="87"/>
      <c r="H62" s="87"/>
    </row>
    <row r="63" spans="1:8" x14ac:dyDescent="0.25">
      <c r="A63" s="87"/>
      <c r="B63" s="87"/>
      <c r="C63" s="93"/>
      <c r="D63" s="87"/>
      <c r="E63" s="87"/>
      <c r="F63" s="87"/>
      <c r="G63" s="87"/>
      <c r="H63" s="87"/>
    </row>
    <row r="64" spans="1:8" x14ac:dyDescent="0.25">
      <c r="A64" s="87"/>
      <c r="B64" s="87"/>
      <c r="C64" s="93"/>
      <c r="D64" s="87"/>
      <c r="E64" s="87"/>
      <c r="F64" s="87"/>
      <c r="G64" s="87"/>
      <c r="H64" s="87"/>
    </row>
  </sheetData>
  <sheetProtection formatCells="0" formatColumns="0" formatRows="0" insertColumns="0" insertRows="0" insertHyperlinks="0" deleteColumns="0" deleteRows="0" sort="0" autoFilter="0" pivotTables="0"/>
  <mergeCells count="76">
    <mergeCell ref="H5:K5"/>
    <mergeCell ref="L5:O5"/>
    <mergeCell ref="A5:A6"/>
    <mergeCell ref="B5:B6"/>
    <mergeCell ref="C5:C6"/>
    <mergeCell ref="D5:F5"/>
    <mergeCell ref="G5:G6"/>
    <mergeCell ref="C32:D32"/>
    <mergeCell ref="C33:D33"/>
    <mergeCell ref="C35:D35"/>
    <mergeCell ref="C34:D34"/>
    <mergeCell ref="C28:F28"/>
    <mergeCell ref="C29:D29"/>
    <mergeCell ref="E29:F29"/>
    <mergeCell ref="C30:D30"/>
    <mergeCell ref="E30:F30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E55:F55"/>
    <mergeCell ref="E54:F54"/>
    <mergeCell ref="E53:F53"/>
    <mergeCell ref="C56:D56"/>
    <mergeCell ref="C58:D58"/>
    <mergeCell ref="C57:D57"/>
    <mergeCell ref="E58:F58"/>
    <mergeCell ref="E57:F57"/>
    <mergeCell ref="E56:F56"/>
    <mergeCell ref="E49:F49"/>
    <mergeCell ref="E50:F50"/>
    <mergeCell ref="E47:F47"/>
    <mergeCell ref="E48:F48"/>
    <mergeCell ref="E52:F52"/>
    <mergeCell ref="E51:F51"/>
    <mergeCell ref="E46:F46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31:F31"/>
    <mergeCell ref="C31:D31"/>
    <mergeCell ref="B29:B30"/>
    <mergeCell ref="G28:H28"/>
    <mergeCell ref="A7:O7"/>
    <mergeCell ref="A16:O16"/>
    <mergeCell ref="B27:H27"/>
    <mergeCell ref="B23:E24"/>
    <mergeCell ref="F23:H23"/>
    <mergeCell ref="B25:E25"/>
  </mergeCells>
  <pageMargins left="0.70866141732283472" right="0.70866141732283472" top="0.74803149606299213" bottom="0.74803149606299213" header="0.31496062992125984" footer="0.31496062992125984"/>
  <pageSetup paperSize="9" scale="71" fitToWidth="2" fitToHeight="2" orientation="landscape" r:id="rId1"/>
  <rowBreaks count="1" manualBreakCount="1">
    <brk id="2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AA60"/>
  <sheetViews>
    <sheetView view="pageBreakPreview" zoomScale="90" zoomScaleNormal="90" zoomScaleSheetLayoutView="90" workbookViewId="0">
      <selection activeCell="D21" sqref="D21:O21"/>
    </sheetView>
  </sheetViews>
  <sheetFormatPr defaultRowHeight="15" x14ac:dyDescent="0.25"/>
  <cols>
    <col min="1" max="1" width="14" style="14" bestFit="1" customWidth="1"/>
    <col min="2" max="2" width="32.7109375" style="14" customWidth="1"/>
    <col min="3" max="6" width="9.140625" style="14"/>
    <col min="7" max="7" width="11.85546875" style="14" customWidth="1"/>
    <col min="8" max="8" width="10" style="14" bestFit="1" customWidth="1"/>
    <col min="9" max="9" width="10.5703125" style="14" bestFit="1" customWidth="1"/>
    <col min="10" max="16384" width="9.140625" style="14"/>
  </cols>
  <sheetData>
    <row r="1" spans="1:27" ht="15.75" x14ac:dyDescent="0.25">
      <c r="A1" s="120" t="s">
        <v>37</v>
      </c>
      <c r="B1" s="121" t="s">
        <v>46</v>
      </c>
    </row>
    <row r="2" spans="1:27" ht="15.75" x14ac:dyDescent="0.25">
      <c r="A2" s="120" t="s">
        <v>39</v>
      </c>
      <c r="B2" s="121" t="s">
        <v>40</v>
      </c>
    </row>
    <row r="3" spans="1:27" ht="15.75" x14ac:dyDescent="0.25">
      <c r="A3" s="120" t="s">
        <v>41</v>
      </c>
      <c r="B3" s="121" t="s">
        <v>42</v>
      </c>
    </row>
    <row r="4" spans="1:27" ht="31.5" x14ac:dyDescent="0.25">
      <c r="A4" s="120" t="s">
        <v>43</v>
      </c>
      <c r="B4" s="121" t="s">
        <v>44</v>
      </c>
    </row>
    <row r="5" spans="1:27" ht="15.75" x14ac:dyDescent="0.25">
      <c r="A5" s="315" t="s">
        <v>27</v>
      </c>
      <c r="B5" s="315" t="s">
        <v>18</v>
      </c>
      <c r="C5" s="315" t="s">
        <v>21</v>
      </c>
      <c r="D5" s="312" t="s">
        <v>30</v>
      </c>
      <c r="E5" s="313"/>
      <c r="F5" s="314"/>
      <c r="G5" s="315" t="s">
        <v>0</v>
      </c>
      <c r="H5" s="312" t="s">
        <v>29</v>
      </c>
      <c r="I5" s="313"/>
      <c r="J5" s="313"/>
      <c r="K5" s="314"/>
      <c r="L5" s="312" t="s">
        <v>28</v>
      </c>
      <c r="M5" s="313"/>
      <c r="N5" s="313"/>
      <c r="O5" s="314"/>
    </row>
    <row r="6" spans="1:27" ht="15.75" x14ac:dyDescent="0.25">
      <c r="A6" s="316"/>
      <c r="B6" s="317"/>
      <c r="C6" s="318"/>
      <c r="D6" s="122" t="s">
        <v>1</v>
      </c>
      <c r="E6" s="122" t="s">
        <v>2</v>
      </c>
      <c r="F6" s="122" t="s">
        <v>3</v>
      </c>
      <c r="G6" s="316"/>
      <c r="H6" s="122" t="s">
        <v>17</v>
      </c>
      <c r="I6" s="122" t="s">
        <v>4</v>
      </c>
      <c r="J6" s="122" t="s">
        <v>5</v>
      </c>
      <c r="K6" s="122" t="s">
        <v>6</v>
      </c>
      <c r="L6" s="122" t="s">
        <v>7</v>
      </c>
      <c r="M6" s="122" t="s">
        <v>8</v>
      </c>
      <c r="N6" s="122" t="s">
        <v>9</v>
      </c>
      <c r="O6" s="122" t="s">
        <v>10</v>
      </c>
    </row>
    <row r="7" spans="1:27" ht="18.75" x14ac:dyDescent="0.25">
      <c r="A7" s="288" t="s">
        <v>20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90"/>
    </row>
    <row r="8" spans="1:27" ht="25.5" x14ac:dyDescent="0.25">
      <c r="A8" s="116">
        <v>54</v>
      </c>
      <c r="B8" s="9" t="s">
        <v>107</v>
      </c>
      <c r="C8" s="142">
        <v>100</v>
      </c>
      <c r="D8" s="16">
        <v>1.9</v>
      </c>
      <c r="E8" s="16">
        <v>6.08</v>
      </c>
      <c r="F8" s="16">
        <v>11.2</v>
      </c>
      <c r="G8" s="16">
        <v>103.9</v>
      </c>
      <c r="H8" s="16">
        <v>2E-3</v>
      </c>
      <c r="I8" s="16">
        <v>6.44</v>
      </c>
      <c r="J8" s="16"/>
      <c r="K8" s="16">
        <v>10.6</v>
      </c>
      <c r="L8" s="16">
        <v>29.27</v>
      </c>
      <c r="M8" s="16">
        <v>31.8</v>
      </c>
      <c r="N8" s="16">
        <v>16.829999999999998</v>
      </c>
      <c r="O8" s="16">
        <v>1.48</v>
      </c>
    </row>
    <row r="9" spans="1:27" s="30" customFormat="1" ht="25.5" customHeight="1" x14ac:dyDescent="0.2">
      <c r="A9" s="116">
        <v>88</v>
      </c>
      <c r="B9" s="9" t="s">
        <v>112</v>
      </c>
      <c r="C9" s="142">
        <v>250</v>
      </c>
      <c r="D9" s="16">
        <v>2.57</v>
      </c>
      <c r="E9" s="16">
        <v>5.15</v>
      </c>
      <c r="F9" s="16">
        <v>7.9</v>
      </c>
      <c r="G9" s="16">
        <v>124.75</v>
      </c>
      <c r="H9" s="16">
        <v>6.0000000000000001E-3</v>
      </c>
      <c r="I9" s="16">
        <v>15.78</v>
      </c>
      <c r="J9" s="16"/>
      <c r="K9" s="16">
        <v>2.35</v>
      </c>
      <c r="L9" s="16">
        <v>51.25</v>
      </c>
      <c r="M9" s="16">
        <v>49</v>
      </c>
      <c r="N9" s="16">
        <v>22.13</v>
      </c>
      <c r="O9" s="16">
        <v>0.83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2.75" customHeight="1" x14ac:dyDescent="0.25">
      <c r="A10" s="154">
        <v>309</v>
      </c>
      <c r="B10" s="150" t="s">
        <v>12</v>
      </c>
      <c r="C10" s="154">
        <v>150</v>
      </c>
      <c r="D10" s="155">
        <v>5.52</v>
      </c>
      <c r="E10" s="155">
        <v>4.5199999999999996</v>
      </c>
      <c r="F10" s="155">
        <v>26.45</v>
      </c>
      <c r="G10" s="155">
        <v>168.45</v>
      </c>
      <c r="H10" s="155">
        <v>0.06</v>
      </c>
      <c r="I10" s="155"/>
      <c r="J10" s="155"/>
      <c r="K10" s="155">
        <v>0.97</v>
      </c>
      <c r="L10" s="155">
        <v>4.8600000000000003</v>
      </c>
      <c r="M10" s="155">
        <v>37.17</v>
      </c>
      <c r="N10" s="155">
        <v>21.12</v>
      </c>
      <c r="O10" s="155">
        <v>1.1100000000000001</v>
      </c>
    </row>
    <row r="11" spans="1:27" ht="1.5" hidden="1" customHeight="1" x14ac:dyDescent="0.25">
      <c r="A11" s="143"/>
      <c r="B11" s="138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</row>
    <row r="12" spans="1:27" ht="25.5" x14ac:dyDescent="0.25">
      <c r="A12" s="119">
        <v>246</v>
      </c>
      <c r="B12" s="9" t="s">
        <v>116</v>
      </c>
      <c r="C12" s="103">
        <v>100</v>
      </c>
      <c r="D12" s="104">
        <v>13.36</v>
      </c>
      <c r="E12" s="103">
        <v>14.08</v>
      </c>
      <c r="F12" s="104">
        <v>0.85</v>
      </c>
      <c r="G12" s="103">
        <v>164</v>
      </c>
      <c r="H12" s="104">
        <v>0.01</v>
      </c>
      <c r="I12" s="103">
        <v>1.2</v>
      </c>
      <c r="J12" s="104"/>
      <c r="K12" s="103"/>
      <c r="L12" s="104">
        <v>23.6</v>
      </c>
      <c r="M12" s="103">
        <v>117.03</v>
      </c>
      <c r="N12" s="104">
        <v>20.27</v>
      </c>
      <c r="O12" s="105">
        <v>2</v>
      </c>
    </row>
    <row r="13" spans="1:27" x14ac:dyDescent="0.25">
      <c r="A13" s="161">
        <v>342</v>
      </c>
      <c r="B13" s="9" t="s">
        <v>98</v>
      </c>
      <c r="C13" s="116">
        <v>200</v>
      </c>
      <c r="D13" s="16">
        <v>0.16</v>
      </c>
      <c r="E13" s="16">
        <v>0.16</v>
      </c>
      <c r="F13" s="16">
        <v>27.88</v>
      </c>
      <c r="G13" s="16">
        <v>114.6</v>
      </c>
      <c r="H13" s="16">
        <v>0.06</v>
      </c>
      <c r="I13" s="16">
        <v>0.9</v>
      </c>
      <c r="J13" s="16"/>
      <c r="K13" s="16">
        <v>0.08</v>
      </c>
      <c r="L13" s="16">
        <v>14.18</v>
      </c>
      <c r="M13" s="16">
        <v>4.4000000000000004</v>
      </c>
      <c r="N13" s="16">
        <v>5.14</v>
      </c>
      <c r="O13" s="16">
        <v>0.95</v>
      </c>
    </row>
    <row r="14" spans="1:27" x14ac:dyDescent="0.25">
      <c r="A14" s="50"/>
      <c r="B14" s="9" t="s">
        <v>14</v>
      </c>
      <c r="C14" s="158">
        <v>40</v>
      </c>
      <c r="D14" s="16">
        <v>2.2400000000000002</v>
      </c>
      <c r="E14" s="16">
        <v>0.88</v>
      </c>
      <c r="F14" s="16">
        <v>19.760000000000002</v>
      </c>
      <c r="G14" s="16">
        <v>91.96</v>
      </c>
      <c r="H14" s="16">
        <v>0.04</v>
      </c>
      <c r="I14" s="16"/>
      <c r="J14" s="16"/>
      <c r="K14" s="16">
        <v>0.36</v>
      </c>
      <c r="L14" s="16">
        <v>9.1999999999999993</v>
      </c>
      <c r="M14" s="16">
        <v>42.4</v>
      </c>
      <c r="N14" s="16">
        <v>10</v>
      </c>
      <c r="O14" s="16">
        <v>1.24</v>
      </c>
    </row>
    <row r="15" spans="1:27" s="132" customFormat="1" x14ac:dyDescent="0.25">
      <c r="A15" s="107" t="s">
        <v>11</v>
      </c>
      <c r="B15" s="108"/>
      <c r="C15" s="108"/>
      <c r="D15" s="110">
        <f>D14+D13+D12+D10+D9+D8</f>
        <v>25.75</v>
      </c>
      <c r="E15" s="110">
        <f t="shared" ref="E15:O15" si="0">E14+E13+E12+E10+E9+E8</f>
        <v>30.869999999999997</v>
      </c>
      <c r="F15" s="110">
        <f t="shared" si="0"/>
        <v>94.04</v>
      </c>
      <c r="G15" s="110">
        <f t="shared" si="0"/>
        <v>767.66</v>
      </c>
      <c r="H15" s="110">
        <f t="shared" si="0"/>
        <v>0.17799999999999999</v>
      </c>
      <c r="I15" s="110">
        <f t="shared" si="0"/>
        <v>24.32</v>
      </c>
      <c r="J15" s="110">
        <f t="shared" si="0"/>
        <v>0</v>
      </c>
      <c r="K15" s="110">
        <f t="shared" si="0"/>
        <v>14.36</v>
      </c>
      <c r="L15" s="110">
        <f t="shared" si="0"/>
        <v>132.36000000000001</v>
      </c>
      <c r="M15" s="110">
        <f t="shared" si="0"/>
        <v>281.8</v>
      </c>
      <c r="N15" s="110">
        <f t="shared" si="0"/>
        <v>95.49</v>
      </c>
      <c r="O15" s="110">
        <f t="shared" si="0"/>
        <v>7.6099999999999994</v>
      </c>
    </row>
    <row r="16" spans="1:27" ht="18.75" x14ac:dyDescent="0.25">
      <c r="A16" s="288" t="s">
        <v>19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90"/>
    </row>
    <row r="17" spans="1:16" x14ac:dyDescent="0.25">
      <c r="A17" s="45"/>
      <c r="B17" s="35"/>
      <c r="C17" s="45"/>
      <c r="D17" s="118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6" x14ac:dyDescent="0.25">
      <c r="A18" s="116"/>
      <c r="B18" s="9"/>
      <c r="C18" s="1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6" x14ac:dyDescent="0.25">
      <c r="A19" s="116"/>
      <c r="B19" s="9"/>
      <c r="C19" s="16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6" s="132" customFormat="1" x14ac:dyDescent="0.25">
      <c r="A20" s="107" t="s">
        <v>11</v>
      </c>
      <c r="B20" s="108"/>
      <c r="C20" s="108"/>
      <c r="D20" s="110">
        <f>D19+D18+D17</f>
        <v>0</v>
      </c>
      <c r="E20" s="110">
        <f t="shared" ref="E20:O20" si="1">E19+E18+E17</f>
        <v>0</v>
      </c>
      <c r="F20" s="110">
        <f t="shared" si="1"/>
        <v>0</v>
      </c>
      <c r="G20" s="110">
        <f t="shared" si="1"/>
        <v>0</v>
      </c>
      <c r="H20" s="110">
        <f t="shared" si="1"/>
        <v>0</v>
      </c>
      <c r="I20" s="110">
        <f t="shared" si="1"/>
        <v>0</v>
      </c>
      <c r="J20" s="110">
        <f t="shared" si="1"/>
        <v>0</v>
      </c>
      <c r="K20" s="110">
        <f t="shared" si="1"/>
        <v>0</v>
      </c>
      <c r="L20" s="110">
        <f t="shared" si="1"/>
        <v>0</v>
      </c>
      <c r="M20" s="110">
        <f t="shared" si="1"/>
        <v>0</v>
      </c>
      <c r="N20" s="110">
        <f t="shared" si="1"/>
        <v>0</v>
      </c>
      <c r="O20" s="110">
        <f t="shared" si="1"/>
        <v>0</v>
      </c>
    </row>
    <row r="21" spans="1:16" s="132" customFormat="1" x14ac:dyDescent="0.25">
      <c r="A21" s="107" t="s">
        <v>15</v>
      </c>
      <c r="B21" s="108"/>
      <c r="C21" s="108"/>
      <c r="D21" s="109">
        <f>D15+D20</f>
        <v>25.75</v>
      </c>
      <c r="E21" s="109">
        <f t="shared" ref="E21:O21" si="2">E15+E20</f>
        <v>30.869999999999997</v>
      </c>
      <c r="F21" s="109">
        <f t="shared" si="2"/>
        <v>94.04</v>
      </c>
      <c r="G21" s="109">
        <f t="shared" si="2"/>
        <v>767.66</v>
      </c>
      <c r="H21" s="109">
        <f t="shared" si="2"/>
        <v>0.17799999999999999</v>
      </c>
      <c r="I21" s="109">
        <f t="shared" si="2"/>
        <v>24.32</v>
      </c>
      <c r="J21" s="109">
        <f t="shared" si="2"/>
        <v>0</v>
      </c>
      <c r="K21" s="109">
        <f t="shared" si="2"/>
        <v>14.36</v>
      </c>
      <c r="L21" s="109">
        <f t="shared" si="2"/>
        <v>132.36000000000001</v>
      </c>
      <c r="M21" s="109">
        <f t="shared" si="2"/>
        <v>281.8</v>
      </c>
      <c r="N21" s="109">
        <f t="shared" si="2"/>
        <v>95.49</v>
      </c>
      <c r="O21" s="109">
        <f t="shared" si="2"/>
        <v>7.6099999999999994</v>
      </c>
    </row>
    <row r="22" spans="1:16" ht="15.75" thickBot="1" x14ac:dyDescent="0.3"/>
    <row r="23" spans="1:16" ht="39" thickBot="1" x14ac:dyDescent="0.3">
      <c r="A23" s="56"/>
      <c r="B23" s="291" t="s">
        <v>51</v>
      </c>
      <c r="C23" s="292"/>
      <c r="D23" s="292"/>
      <c r="E23" s="293"/>
      <c r="F23" s="303" t="s">
        <v>52</v>
      </c>
      <c r="G23" s="304"/>
      <c r="H23" s="305"/>
      <c r="I23" s="123" t="s">
        <v>53</v>
      </c>
      <c r="K23" s="56"/>
      <c r="L23" s="56"/>
      <c r="M23" s="56"/>
      <c r="N23" s="56"/>
      <c r="O23" s="56"/>
      <c r="P23" s="56"/>
    </row>
    <row r="24" spans="1:16" ht="15.75" thickBot="1" x14ac:dyDescent="0.3">
      <c r="A24" s="42"/>
      <c r="B24" s="294"/>
      <c r="C24" s="295"/>
      <c r="D24" s="295"/>
      <c r="E24" s="296"/>
      <c r="F24" s="124" t="s">
        <v>1</v>
      </c>
      <c r="G24" s="124" t="s">
        <v>2</v>
      </c>
      <c r="H24" s="124" t="s">
        <v>3</v>
      </c>
      <c r="I24" s="125"/>
      <c r="K24" s="56"/>
      <c r="L24" s="44"/>
      <c r="M24" s="44"/>
      <c r="N24" s="44"/>
      <c r="O24" s="44"/>
      <c r="P24" s="56"/>
    </row>
    <row r="25" spans="1:16" ht="15.75" thickBot="1" x14ac:dyDescent="0.3">
      <c r="A25" s="56"/>
      <c r="B25" s="306" t="s">
        <v>54</v>
      </c>
      <c r="C25" s="307"/>
      <c r="D25" s="307"/>
      <c r="E25" s="308"/>
      <c r="F25" s="126">
        <f>D21</f>
        <v>25.75</v>
      </c>
      <c r="G25" s="126">
        <f>E21</f>
        <v>30.869999999999997</v>
      </c>
      <c r="H25" s="126">
        <f>F21</f>
        <v>94.04</v>
      </c>
      <c r="I25" s="126">
        <f>G21</f>
        <v>767.66</v>
      </c>
      <c r="K25" s="56"/>
      <c r="L25" s="56"/>
      <c r="M25" s="56"/>
      <c r="N25" s="56"/>
      <c r="O25" s="56"/>
      <c r="P25" s="56"/>
    </row>
    <row r="26" spans="1:16" s="30" customFormat="1" x14ac:dyDescent="0.25">
      <c r="A26" s="42"/>
      <c r="B26" s="14"/>
      <c r="C26" s="14"/>
      <c r="D26" s="14"/>
      <c r="E26" s="14"/>
      <c r="F26" s="14"/>
      <c r="G26" s="14"/>
      <c r="H26" s="14"/>
      <c r="I26" s="14"/>
      <c r="J26" s="14"/>
      <c r="K26" s="56"/>
      <c r="L26" s="44"/>
      <c r="M26" s="44"/>
      <c r="N26" s="44"/>
      <c r="O26" s="44"/>
      <c r="P26" s="57"/>
    </row>
    <row r="27" spans="1:16" ht="32.25" customHeight="1" x14ac:dyDescent="0.25">
      <c r="A27" s="56"/>
      <c r="B27" s="297" t="s">
        <v>95</v>
      </c>
      <c r="C27" s="297"/>
      <c r="D27" s="297"/>
      <c r="E27" s="297"/>
      <c r="F27" s="297"/>
      <c r="G27" s="297"/>
      <c r="H27" s="297"/>
      <c r="K27" s="56"/>
      <c r="L27" s="56"/>
      <c r="M27" s="56"/>
      <c r="N27" s="56"/>
      <c r="O27" s="56"/>
      <c r="P27" s="56"/>
    </row>
    <row r="28" spans="1:16" ht="30" customHeight="1" x14ac:dyDescent="0.25">
      <c r="A28" s="56"/>
      <c r="B28" s="127" t="s">
        <v>57</v>
      </c>
      <c r="C28" s="298" t="s">
        <v>58</v>
      </c>
      <c r="D28" s="298"/>
      <c r="E28" s="298"/>
      <c r="F28" s="298"/>
      <c r="G28" s="309" t="s">
        <v>96</v>
      </c>
      <c r="H28" s="310"/>
      <c r="J28" s="120" t="s">
        <v>37</v>
      </c>
      <c r="K28" s="121" t="s">
        <v>46</v>
      </c>
    </row>
    <row r="29" spans="1:16" ht="31.5" x14ac:dyDescent="0.25">
      <c r="A29" s="56"/>
      <c r="B29" s="299"/>
      <c r="C29" s="301" t="s">
        <v>59</v>
      </c>
      <c r="D29" s="302"/>
      <c r="E29" s="301" t="s">
        <v>60</v>
      </c>
      <c r="F29" s="302"/>
      <c r="G29" s="127" t="s">
        <v>59</v>
      </c>
      <c r="H29" s="127" t="s">
        <v>60</v>
      </c>
      <c r="J29" s="120" t="s">
        <v>39</v>
      </c>
      <c r="K29" s="121" t="s">
        <v>40</v>
      </c>
    </row>
    <row r="30" spans="1:16" ht="30" x14ac:dyDescent="0.25">
      <c r="A30" s="56"/>
      <c r="B30" s="300"/>
      <c r="C30" s="311" t="s">
        <v>109</v>
      </c>
      <c r="D30" s="302"/>
      <c r="E30" s="311" t="s">
        <v>109</v>
      </c>
      <c r="F30" s="302"/>
      <c r="G30" s="166" t="s">
        <v>109</v>
      </c>
      <c r="H30" s="166" t="s">
        <v>109</v>
      </c>
      <c r="J30" s="120" t="s">
        <v>41</v>
      </c>
      <c r="K30" s="121" t="s">
        <v>42</v>
      </c>
    </row>
    <row r="31" spans="1:16" ht="61.5" customHeight="1" x14ac:dyDescent="0.25">
      <c r="A31" s="56"/>
      <c r="B31" s="128" t="s">
        <v>61</v>
      </c>
      <c r="C31" s="284">
        <v>80</v>
      </c>
      <c r="D31" s="285"/>
      <c r="E31" s="284">
        <v>80</v>
      </c>
      <c r="F31" s="285"/>
      <c r="G31" s="129">
        <v>40</v>
      </c>
      <c r="H31" s="129">
        <v>40</v>
      </c>
      <c r="J31" s="120" t="s">
        <v>43</v>
      </c>
      <c r="K31" s="208">
        <v>43776</v>
      </c>
    </row>
    <row r="32" spans="1:16" x14ac:dyDescent="0.25">
      <c r="A32" s="56"/>
      <c r="B32" s="128" t="s">
        <v>62</v>
      </c>
      <c r="C32" s="284">
        <v>150</v>
      </c>
      <c r="D32" s="285"/>
      <c r="E32" s="284">
        <v>150</v>
      </c>
      <c r="F32" s="285"/>
      <c r="G32" s="129">
        <f>50+8+5+40</f>
        <v>103</v>
      </c>
      <c r="H32" s="129">
        <v>103</v>
      </c>
    </row>
    <row r="33" spans="1:8" x14ac:dyDescent="0.25">
      <c r="A33" s="56"/>
      <c r="B33" s="128" t="s">
        <v>63</v>
      </c>
      <c r="C33" s="284">
        <v>15</v>
      </c>
      <c r="D33" s="285"/>
      <c r="E33" s="284">
        <v>15</v>
      </c>
      <c r="F33" s="285"/>
      <c r="G33" s="129">
        <f>1+0.6+14</f>
        <v>15.6</v>
      </c>
      <c r="H33" s="129">
        <v>15.6</v>
      </c>
    </row>
    <row r="34" spans="1:8" x14ac:dyDescent="0.25">
      <c r="A34" s="56"/>
      <c r="B34" s="128" t="s">
        <v>64</v>
      </c>
      <c r="C34" s="284">
        <v>45</v>
      </c>
      <c r="D34" s="285"/>
      <c r="E34" s="284">
        <v>45</v>
      </c>
      <c r="F34" s="285"/>
      <c r="G34" s="129"/>
      <c r="H34" s="129"/>
    </row>
    <row r="35" spans="1:8" x14ac:dyDescent="0.25">
      <c r="A35" s="56"/>
      <c r="B35" s="128" t="s">
        <v>65</v>
      </c>
      <c r="C35" s="284">
        <v>15</v>
      </c>
      <c r="D35" s="285"/>
      <c r="E35" s="284">
        <v>15</v>
      </c>
      <c r="F35" s="285"/>
      <c r="G35" s="129">
        <v>10</v>
      </c>
      <c r="H35" s="129">
        <v>10</v>
      </c>
    </row>
    <row r="36" spans="1:8" x14ac:dyDescent="0.25">
      <c r="A36" s="56"/>
      <c r="B36" s="128" t="s">
        <v>66</v>
      </c>
      <c r="C36" s="284" t="s">
        <v>67</v>
      </c>
      <c r="D36" s="285"/>
      <c r="E36" s="286">
        <v>188</v>
      </c>
      <c r="F36" s="287"/>
      <c r="G36" s="129">
        <v>53.4</v>
      </c>
      <c r="H36" s="129">
        <v>40</v>
      </c>
    </row>
    <row r="37" spans="1:8" x14ac:dyDescent="0.25">
      <c r="A37" s="56"/>
      <c r="B37" s="128" t="s">
        <v>68</v>
      </c>
      <c r="C37" s="284">
        <v>350</v>
      </c>
      <c r="D37" s="285"/>
      <c r="E37" s="284" t="s">
        <v>69</v>
      </c>
      <c r="F37" s="285"/>
      <c r="G37" s="129">
        <f>10+9.6+2+2+142+3+5+6+92.6</f>
        <v>272.2</v>
      </c>
      <c r="H37" s="130">
        <f>8+8+2+114+2.5+4+6+74</f>
        <v>218.5</v>
      </c>
    </row>
    <row r="38" spans="1:8" x14ac:dyDescent="0.25">
      <c r="A38" s="56"/>
      <c r="B38" s="128" t="s">
        <v>70</v>
      </c>
      <c r="C38" s="284">
        <v>200</v>
      </c>
      <c r="D38" s="285"/>
      <c r="E38" s="284" t="s">
        <v>71</v>
      </c>
      <c r="F38" s="285"/>
      <c r="G38" s="129">
        <f>100+14.3+20.7</f>
        <v>135</v>
      </c>
      <c r="H38" s="129">
        <f>100+10+18</f>
        <v>128</v>
      </c>
    </row>
    <row r="39" spans="1:8" ht="25.5" customHeight="1" x14ac:dyDescent="0.25">
      <c r="A39" s="56"/>
      <c r="B39" s="128" t="s">
        <v>72</v>
      </c>
      <c r="C39" s="284">
        <v>15</v>
      </c>
      <c r="D39" s="285"/>
      <c r="E39" s="284">
        <v>15</v>
      </c>
      <c r="F39" s="285"/>
      <c r="G39" s="129">
        <f>5.6</f>
        <v>5.6</v>
      </c>
      <c r="H39" s="129">
        <v>10</v>
      </c>
    </row>
    <row r="40" spans="1:8" ht="38.25" x14ac:dyDescent="0.25">
      <c r="A40" s="56"/>
      <c r="B40" s="128" t="s">
        <v>73</v>
      </c>
      <c r="C40" s="284">
        <v>200</v>
      </c>
      <c r="D40" s="285"/>
      <c r="E40" s="284">
        <v>200</v>
      </c>
      <c r="F40" s="285"/>
      <c r="G40" s="129">
        <v>200</v>
      </c>
      <c r="H40" s="129">
        <v>200</v>
      </c>
    </row>
    <row r="41" spans="1:8" ht="25.5" x14ac:dyDescent="0.25">
      <c r="A41" s="56"/>
      <c r="B41" s="128" t="s">
        <v>74</v>
      </c>
      <c r="C41" s="284" t="s">
        <v>75</v>
      </c>
      <c r="D41" s="285"/>
      <c r="E41" s="284">
        <v>70</v>
      </c>
      <c r="F41" s="285"/>
      <c r="G41" s="129"/>
      <c r="H41" s="129"/>
    </row>
    <row r="42" spans="1:8" ht="25.5" x14ac:dyDescent="0.25">
      <c r="A42" s="56"/>
      <c r="B42" s="128" t="s">
        <v>76</v>
      </c>
      <c r="C42" s="284" t="s">
        <v>77</v>
      </c>
      <c r="D42" s="285"/>
      <c r="E42" s="284">
        <v>35</v>
      </c>
      <c r="F42" s="285"/>
      <c r="G42" s="129">
        <f>85+40</f>
        <v>125</v>
      </c>
      <c r="H42" s="129">
        <f>35+25</f>
        <v>60</v>
      </c>
    </row>
    <row r="43" spans="1:8" x14ac:dyDescent="0.25">
      <c r="A43" s="56"/>
      <c r="B43" s="128" t="s">
        <v>78</v>
      </c>
      <c r="C43" s="284">
        <v>60</v>
      </c>
      <c r="D43" s="285"/>
      <c r="E43" s="284">
        <v>58</v>
      </c>
      <c r="F43" s="285"/>
      <c r="G43" s="129"/>
      <c r="H43" s="129"/>
    </row>
    <row r="44" spans="1:8" x14ac:dyDescent="0.25">
      <c r="A44" s="56"/>
      <c r="B44" s="128" t="s">
        <v>79</v>
      </c>
      <c r="C44" s="284">
        <v>15</v>
      </c>
      <c r="D44" s="285"/>
      <c r="E44" s="284">
        <v>14.7</v>
      </c>
      <c r="F44" s="285"/>
      <c r="G44" s="129"/>
      <c r="H44" s="129"/>
    </row>
    <row r="45" spans="1:8" ht="25.5" x14ac:dyDescent="0.25">
      <c r="A45" s="56"/>
      <c r="B45" s="128" t="s">
        <v>80</v>
      </c>
      <c r="C45" s="284">
        <v>300</v>
      </c>
      <c r="D45" s="285"/>
      <c r="E45" s="284">
        <v>300</v>
      </c>
      <c r="F45" s="285"/>
      <c r="G45" s="129">
        <f>100+50+12</f>
        <v>162</v>
      </c>
      <c r="H45" s="129">
        <v>162</v>
      </c>
    </row>
    <row r="46" spans="1:8" ht="25.5" x14ac:dyDescent="0.25">
      <c r="A46" s="56"/>
      <c r="B46" s="128" t="s">
        <v>81</v>
      </c>
      <c r="C46" s="284">
        <v>150</v>
      </c>
      <c r="D46" s="285"/>
      <c r="E46" s="284">
        <v>150</v>
      </c>
      <c r="F46" s="285"/>
      <c r="G46" s="129">
        <v>206</v>
      </c>
      <c r="H46" s="129">
        <v>200</v>
      </c>
    </row>
    <row r="47" spans="1:8" ht="25.5" x14ac:dyDescent="0.25">
      <c r="A47" s="56"/>
      <c r="B47" s="128" t="s">
        <v>82</v>
      </c>
      <c r="C47" s="284">
        <v>50</v>
      </c>
      <c r="D47" s="285"/>
      <c r="E47" s="284">
        <v>50</v>
      </c>
      <c r="F47" s="285"/>
      <c r="G47" s="129"/>
      <c r="H47" s="129"/>
    </row>
    <row r="48" spans="1:8" x14ac:dyDescent="0.25">
      <c r="A48" s="56"/>
      <c r="B48" s="128" t="s">
        <v>83</v>
      </c>
      <c r="C48" s="284">
        <v>10</v>
      </c>
      <c r="D48" s="285"/>
      <c r="E48" s="284">
        <v>9.8000000000000007</v>
      </c>
      <c r="F48" s="285"/>
      <c r="G48" s="129"/>
      <c r="H48" s="130"/>
    </row>
    <row r="49" spans="1:8" ht="25.5" x14ac:dyDescent="0.25">
      <c r="A49" s="56"/>
      <c r="B49" s="128" t="s">
        <v>84</v>
      </c>
      <c r="C49" s="284">
        <v>10</v>
      </c>
      <c r="D49" s="285"/>
      <c r="E49" s="284">
        <v>10</v>
      </c>
      <c r="F49" s="285"/>
      <c r="G49" s="131"/>
      <c r="H49" s="131"/>
    </row>
    <row r="50" spans="1:8" x14ac:dyDescent="0.25">
      <c r="A50" s="56"/>
      <c r="B50" s="128" t="s">
        <v>85</v>
      </c>
      <c r="C50" s="284">
        <v>30</v>
      </c>
      <c r="D50" s="285"/>
      <c r="E50" s="284">
        <v>30</v>
      </c>
      <c r="F50" s="285"/>
      <c r="G50" s="129">
        <f>10+4+10+2+5+0.6</f>
        <v>31.6</v>
      </c>
      <c r="H50" s="129">
        <f>31.6</f>
        <v>31.6</v>
      </c>
    </row>
    <row r="51" spans="1:8" x14ac:dyDescent="0.25">
      <c r="A51" s="56"/>
      <c r="B51" s="128" t="s">
        <v>86</v>
      </c>
      <c r="C51" s="284">
        <v>15</v>
      </c>
      <c r="D51" s="285"/>
      <c r="E51" s="284">
        <v>15</v>
      </c>
      <c r="F51" s="285"/>
      <c r="G51" s="129">
        <f>2+4+3+5+0.15</f>
        <v>14.15</v>
      </c>
      <c r="H51" s="129">
        <v>14.15</v>
      </c>
    </row>
    <row r="52" spans="1:8" x14ac:dyDescent="0.25">
      <c r="A52" s="56"/>
      <c r="B52" s="128" t="s">
        <v>87</v>
      </c>
      <c r="C52" s="284" t="s">
        <v>88</v>
      </c>
      <c r="D52" s="285"/>
      <c r="E52" s="284">
        <v>40</v>
      </c>
      <c r="F52" s="285"/>
      <c r="G52" s="129">
        <f>80+0.7+0.7</f>
        <v>81.400000000000006</v>
      </c>
      <c r="H52" s="129">
        <v>81.400000000000006</v>
      </c>
    </row>
    <row r="53" spans="1:8" x14ac:dyDescent="0.25">
      <c r="A53" s="56"/>
      <c r="B53" s="128" t="s">
        <v>89</v>
      </c>
      <c r="C53" s="284">
        <v>40</v>
      </c>
      <c r="D53" s="285"/>
      <c r="E53" s="286">
        <v>40</v>
      </c>
      <c r="F53" s="287"/>
      <c r="G53" s="129">
        <f>1+20+3+2+5.4+0.75</f>
        <v>32.15</v>
      </c>
      <c r="H53" s="129">
        <v>32.15</v>
      </c>
    </row>
    <row r="54" spans="1:8" x14ac:dyDescent="0.25">
      <c r="A54" s="56"/>
      <c r="B54" s="128" t="s">
        <v>90</v>
      </c>
      <c r="C54" s="286">
        <v>10</v>
      </c>
      <c r="D54" s="287"/>
      <c r="E54" s="284">
        <v>10</v>
      </c>
      <c r="F54" s="285"/>
      <c r="G54" s="129"/>
      <c r="H54" s="129"/>
    </row>
    <row r="55" spans="1:8" x14ac:dyDescent="0.25">
      <c r="A55" s="56"/>
      <c r="B55" s="128" t="s">
        <v>91</v>
      </c>
      <c r="C55" s="284">
        <v>0.4</v>
      </c>
      <c r="D55" s="285"/>
      <c r="E55" s="284">
        <v>0.4</v>
      </c>
      <c r="F55" s="285"/>
      <c r="G55" s="129"/>
      <c r="H55" s="129"/>
    </row>
    <row r="56" spans="1:8" x14ac:dyDescent="0.25">
      <c r="A56" s="56"/>
      <c r="B56" s="128" t="s">
        <v>92</v>
      </c>
      <c r="C56" s="284">
        <v>1.2</v>
      </c>
      <c r="D56" s="285"/>
      <c r="E56" s="284">
        <v>1.2</v>
      </c>
      <c r="F56" s="285"/>
      <c r="G56" s="129"/>
      <c r="H56" s="129"/>
    </row>
    <row r="57" spans="1:8" x14ac:dyDescent="0.25">
      <c r="A57" s="56"/>
      <c r="B57" s="128" t="s">
        <v>93</v>
      </c>
      <c r="C57" s="284">
        <v>1</v>
      </c>
      <c r="D57" s="285"/>
      <c r="E57" s="284">
        <v>1</v>
      </c>
      <c r="F57" s="285"/>
      <c r="G57" s="129">
        <v>0.1</v>
      </c>
      <c r="H57" s="129">
        <v>0.1</v>
      </c>
    </row>
    <row r="58" spans="1:8" x14ac:dyDescent="0.25">
      <c r="A58" s="56"/>
      <c r="B58" s="128" t="s">
        <v>94</v>
      </c>
      <c r="C58" s="284">
        <v>5</v>
      </c>
      <c r="D58" s="285"/>
      <c r="E58" s="284">
        <v>5</v>
      </c>
      <c r="F58" s="285"/>
      <c r="G58" s="129">
        <v>3.1</v>
      </c>
      <c r="H58" s="129">
        <v>3.1</v>
      </c>
    </row>
    <row r="59" spans="1:8" x14ac:dyDescent="0.25">
      <c r="A59" s="56"/>
      <c r="B59" s="56"/>
      <c r="C59" s="56"/>
      <c r="D59" s="56"/>
      <c r="E59" s="56"/>
      <c r="F59" s="56"/>
      <c r="G59" s="56"/>
      <c r="H59" s="56"/>
    </row>
    <row r="60" spans="1:8" x14ac:dyDescent="0.25">
      <c r="A60" s="56"/>
      <c r="B60" s="56"/>
      <c r="C60" s="56"/>
      <c r="D60" s="56"/>
      <c r="E60" s="56"/>
      <c r="F60" s="56"/>
      <c r="G60" s="56"/>
      <c r="H60" s="56"/>
    </row>
  </sheetData>
  <sheetProtection formatCells="0" formatColumns="0" formatRows="0" insertColumns="0" insertRows="0" insertHyperlinks="0" deleteColumns="0" deleteRows="0" sort="0" autoFilter="0" pivotTables="0"/>
  <mergeCells count="76">
    <mergeCell ref="L5:O5"/>
    <mergeCell ref="A5:A6"/>
    <mergeCell ref="B5:B6"/>
    <mergeCell ref="C5:C6"/>
    <mergeCell ref="D5:F5"/>
    <mergeCell ref="G5:G6"/>
    <mergeCell ref="H5:K5"/>
    <mergeCell ref="B23:E24"/>
    <mergeCell ref="B27:H27"/>
    <mergeCell ref="C28:F28"/>
    <mergeCell ref="B29:B30"/>
    <mergeCell ref="C29:D29"/>
    <mergeCell ref="E29:F29"/>
    <mergeCell ref="F23:H23"/>
    <mergeCell ref="B25:E25"/>
    <mergeCell ref="G28:H28"/>
    <mergeCell ref="C30:D30"/>
    <mergeCell ref="E30:F30"/>
    <mergeCell ref="A7:O7"/>
    <mergeCell ref="A16:O16"/>
    <mergeCell ref="C58:D58"/>
    <mergeCell ref="C57:D57"/>
    <mergeCell ref="C56:D56"/>
    <mergeCell ref="C55:D55"/>
    <mergeCell ref="C54:D54"/>
    <mergeCell ref="C53:D53"/>
    <mergeCell ref="C52:D52"/>
    <mergeCell ref="C51:D51"/>
    <mergeCell ref="C49:D49"/>
    <mergeCell ref="C50:D50"/>
    <mergeCell ref="C48:D48"/>
    <mergeCell ref="C47:D47"/>
    <mergeCell ref="C32:D32"/>
    <mergeCell ref="C31:D31"/>
    <mergeCell ref="C46:D46"/>
    <mergeCell ref="C45:D45"/>
    <mergeCell ref="C44:D44"/>
    <mergeCell ref="C43:D43"/>
    <mergeCell ref="C42:D42"/>
    <mergeCell ref="E36:F36"/>
    <mergeCell ref="E37:F37"/>
    <mergeCell ref="C41:D41"/>
    <mergeCell ref="C40:D40"/>
    <mergeCell ref="C39:D39"/>
    <mergeCell ref="E47:F47"/>
    <mergeCell ref="E48:F48"/>
    <mergeCell ref="E58:F5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42:F42"/>
    <mergeCell ref="E43:F43"/>
    <mergeCell ref="E45:F45"/>
    <mergeCell ref="E44:F44"/>
    <mergeCell ref="E46:F46"/>
    <mergeCell ref="E40:F40"/>
    <mergeCell ref="E39:F39"/>
    <mergeCell ref="E41:F41"/>
    <mergeCell ref="E38:F38"/>
    <mergeCell ref="C33:D33"/>
    <mergeCell ref="E33:F33"/>
    <mergeCell ref="C38:D38"/>
    <mergeCell ref="C37:D37"/>
    <mergeCell ref="C36:D36"/>
    <mergeCell ref="C35:D35"/>
    <mergeCell ref="C34:D34"/>
    <mergeCell ref="E34:F34"/>
    <mergeCell ref="E31:F31"/>
    <mergeCell ref="E32:F32"/>
    <mergeCell ref="E35:F35"/>
  </mergeCells>
  <pageMargins left="0.70866141732283472" right="0.70866141732283472" top="0.74803149606299213" bottom="0.74803149606299213" header="0.31496062992125984" footer="0.31496062992125984"/>
  <pageSetup paperSize="9" scale="73" fitToWidth="2" fitToHeight="2" orientation="landscape" r:id="rId1"/>
  <rowBreaks count="1" manualBreakCount="1">
    <brk id="2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O60"/>
  <sheetViews>
    <sheetView view="pageBreakPreview" zoomScale="90" zoomScaleSheetLayoutView="90" workbookViewId="0">
      <selection activeCell="D21" sqref="D21:O21"/>
    </sheetView>
  </sheetViews>
  <sheetFormatPr defaultRowHeight="15" x14ac:dyDescent="0.25"/>
  <cols>
    <col min="1" max="1" width="13.7109375" bestFit="1" customWidth="1"/>
    <col min="2" max="2" width="27.140625" customWidth="1"/>
    <col min="4" max="4" width="10.140625" bestFit="1" customWidth="1"/>
    <col min="6" max="6" width="11.85546875" customWidth="1"/>
    <col min="7" max="7" width="13.42578125" customWidth="1"/>
    <col min="8" max="8" width="10.42578125" customWidth="1"/>
    <col min="9" max="9" width="11" customWidth="1"/>
    <col min="11" max="11" width="13.42578125" customWidth="1"/>
  </cols>
  <sheetData>
    <row r="1" spans="1:15" ht="15.75" x14ac:dyDescent="0.25">
      <c r="A1" s="13" t="s">
        <v>37</v>
      </c>
      <c r="B1" s="12" t="s">
        <v>47</v>
      </c>
    </row>
    <row r="2" spans="1:15" ht="15.75" x14ac:dyDescent="0.25">
      <c r="A2" s="13" t="s">
        <v>39</v>
      </c>
      <c r="B2" s="12" t="s">
        <v>40</v>
      </c>
    </row>
    <row r="3" spans="1:15" ht="15.75" x14ac:dyDescent="0.25">
      <c r="A3" s="13" t="s">
        <v>41</v>
      </c>
      <c r="B3" s="12" t="s">
        <v>42</v>
      </c>
    </row>
    <row r="4" spans="1:15" ht="31.5" x14ac:dyDescent="0.25">
      <c r="A4" s="13" t="s">
        <v>43</v>
      </c>
      <c r="B4" s="209">
        <v>43776</v>
      </c>
    </row>
    <row r="5" spans="1:15" ht="15.75" x14ac:dyDescent="0.25">
      <c r="A5" s="324" t="s">
        <v>27</v>
      </c>
      <c r="B5" s="324" t="s">
        <v>18</v>
      </c>
      <c r="C5" s="324" t="s">
        <v>21</v>
      </c>
      <c r="D5" s="321" t="s">
        <v>30</v>
      </c>
      <c r="E5" s="322"/>
      <c r="F5" s="323"/>
      <c r="G5" s="324" t="s">
        <v>0</v>
      </c>
      <c r="H5" s="321" t="s">
        <v>29</v>
      </c>
      <c r="I5" s="322"/>
      <c r="J5" s="322"/>
      <c r="K5" s="323"/>
      <c r="L5" s="321" t="s">
        <v>28</v>
      </c>
      <c r="M5" s="322"/>
      <c r="N5" s="322"/>
      <c r="O5" s="323"/>
    </row>
    <row r="6" spans="1:15" ht="15.75" x14ac:dyDescent="0.25">
      <c r="A6" s="325"/>
      <c r="B6" s="326"/>
      <c r="C6" s="327"/>
      <c r="D6" s="7" t="s">
        <v>1</v>
      </c>
      <c r="E6" s="7" t="s">
        <v>2</v>
      </c>
      <c r="F6" s="7" t="s">
        <v>3</v>
      </c>
      <c r="G6" s="325"/>
      <c r="H6" s="7" t="s">
        <v>17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10</v>
      </c>
    </row>
    <row r="7" spans="1:15" s="14" customFormat="1" ht="18.75" x14ac:dyDescent="0.25">
      <c r="A7" s="289" t="s">
        <v>20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90"/>
    </row>
    <row r="8" spans="1:15" s="157" customFormat="1" ht="38.25" x14ac:dyDescent="0.25">
      <c r="A8" s="15">
        <v>67</v>
      </c>
      <c r="B8" s="9" t="s">
        <v>106</v>
      </c>
      <c r="C8" s="142">
        <v>100</v>
      </c>
      <c r="D8" s="16">
        <v>1.4</v>
      </c>
      <c r="E8" s="16">
        <v>10.039999999999999</v>
      </c>
      <c r="F8" s="16">
        <v>7.29</v>
      </c>
      <c r="G8" s="16">
        <v>125.1</v>
      </c>
      <c r="H8" s="16">
        <v>0.04</v>
      </c>
      <c r="I8" s="16">
        <v>9.6300000000000008</v>
      </c>
      <c r="J8" s="16"/>
      <c r="K8" s="16">
        <v>4.5</v>
      </c>
      <c r="L8" s="16">
        <v>31.23</v>
      </c>
      <c r="M8" s="16">
        <v>43.27</v>
      </c>
      <c r="N8" s="16">
        <v>19.53</v>
      </c>
      <c r="O8" s="16">
        <v>0.83</v>
      </c>
    </row>
    <row r="9" spans="1:15" s="14" customFormat="1" ht="38.25" x14ac:dyDescent="0.25">
      <c r="A9" s="154">
        <v>82</v>
      </c>
      <c r="B9" s="150" t="s">
        <v>113</v>
      </c>
      <c r="C9" s="156">
        <v>250</v>
      </c>
      <c r="D9" s="155">
        <v>2.6</v>
      </c>
      <c r="E9" s="155">
        <v>5.12</v>
      </c>
      <c r="F9" s="155">
        <v>10.93</v>
      </c>
      <c r="G9" s="155">
        <v>138.75</v>
      </c>
      <c r="H9" s="155">
        <v>5.0000000000000001E-3</v>
      </c>
      <c r="I9" s="155">
        <v>10.68</v>
      </c>
      <c r="J9" s="155"/>
      <c r="K9" s="155">
        <v>2.4</v>
      </c>
      <c r="L9" s="155">
        <v>51.73</v>
      </c>
      <c r="M9" s="155">
        <v>54.6</v>
      </c>
      <c r="N9" s="155">
        <v>26.13</v>
      </c>
      <c r="O9" s="155">
        <v>1.23</v>
      </c>
    </row>
    <row r="10" spans="1:15" s="14" customFormat="1" x14ac:dyDescent="0.25">
      <c r="A10" s="15">
        <v>304</v>
      </c>
      <c r="B10" s="9" t="s">
        <v>117</v>
      </c>
      <c r="C10" s="142">
        <v>150</v>
      </c>
      <c r="D10" s="16">
        <v>3.65</v>
      </c>
      <c r="E10" s="16">
        <v>5.37</v>
      </c>
      <c r="F10" s="16">
        <v>36.68</v>
      </c>
      <c r="G10" s="16">
        <v>209.7</v>
      </c>
      <c r="H10" s="16">
        <v>0.03</v>
      </c>
      <c r="I10" s="16">
        <v>0</v>
      </c>
      <c r="J10" s="16">
        <v>0</v>
      </c>
      <c r="K10" s="16">
        <v>0.28000000000000003</v>
      </c>
      <c r="L10" s="16">
        <v>1.37</v>
      </c>
      <c r="M10" s="16">
        <v>60.95</v>
      </c>
      <c r="N10" s="16">
        <v>16.34</v>
      </c>
      <c r="O10" s="16">
        <v>0.53</v>
      </c>
    </row>
    <row r="11" spans="1:15" s="14" customFormat="1" x14ac:dyDescent="0.25">
      <c r="A11" s="15">
        <v>278</v>
      </c>
      <c r="B11" s="9" t="s">
        <v>118</v>
      </c>
      <c r="C11" s="142">
        <v>110</v>
      </c>
      <c r="D11" s="16">
        <v>7.83</v>
      </c>
      <c r="E11" s="16">
        <v>8.75</v>
      </c>
      <c r="F11" s="16">
        <v>10.25</v>
      </c>
      <c r="G11" s="16">
        <v>151</v>
      </c>
      <c r="H11" s="16">
        <v>0.05</v>
      </c>
      <c r="I11" s="16">
        <v>0.72</v>
      </c>
      <c r="J11" s="16">
        <v>33.92</v>
      </c>
      <c r="K11" s="16">
        <v>0.55000000000000004</v>
      </c>
      <c r="L11" s="16">
        <v>27.95</v>
      </c>
      <c r="M11" s="16">
        <v>88.37</v>
      </c>
      <c r="N11" s="16">
        <v>18.329999999999998</v>
      </c>
      <c r="O11" s="16">
        <v>0.87</v>
      </c>
    </row>
    <row r="12" spans="1:15" s="14" customFormat="1" ht="25.5" x14ac:dyDescent="0.25">
      <c r="A12" s="134">
        <v>438</v>
      </c>
      <c r="B12" s="9" t="s">
        <v>124</v>
      </c>
      <c r="C12" s="142">
        <v>180</v>
      </c>
      <c r="D12" s="16">
        <v>0.1</v>
      </c>
      <c r="E12" s="16">
        <v>0.1</v>
      </c>
      <c r="F12" s="16">
        <v>22</v>
      </c>
      <c r="G12" s="16">
        <v>89.6</v>
      </c>
      <c r="H12" s="16">
        <v>0</v>
      </c>
      <c r="I12" s="16">
        <v>0.9</v>
      </c>
      <c r="J12" s="16"/>
      <c r="K12" s="16">
        <v>0.1</v>
      </c>
      <c r="L12" s="16">
        <v>11.2</v>
      </c>
      <c r="M12" s="16">
        <v>2.2999999999999998</v>
      </c>
      <c r="N12" s="16">
        <v>3.3</v>
      </c>
      <c r="O12" s="16">
        <v>0.5</v>
      </c>
    </row>
    <row r="13" spans="1:15" s="14" customFormat="1" x14ac:dyDescent="0.25">
      <c r="A13" s="50"/>
      <c r="B13" s="9" t="s">
        <v>14</v>
      </c>
      <c r="C13" s="142">
        <v>40</v>
      </c>
      <c r="D13" s="16">
        <v>2.2400000000000002</v>
      </c>
      <c r="E13" s="16">
        <v>0.88</v>
      </c>
      <c r="F13" s="16">
        <v>19.760000000000002</v>
      </c>
      <c r="G13" s="16">
        <v>91.96</v>
      </c>
      <c r="H13" s="16">
        <v>0.04</v>
      </c>
      <c r="I13" s="16"/>
      <c r="J13" s="16"/>
      <c r="K13" s="16">
        <v>0.36</v>
      </c>
      <c r="L13" s="16">
        <v>9.1999999999999993</v>
      </c>
      <c r="M13" s="16">
        <v>42.4</v>
      </c>
      <c r="N13" s="16">
        <v>10</v>
      </c>
      <c r="O13" s="16">
        <v>1.24</v>
      </c>
    </row>
    <row r="14" spans="1:15" x14ac:dyDescent="0.25">
      <c r="A14" s="50"/>
      <c r="B14" s="9"/>
      <c r="C14" s="14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164" customFormat="1" x14ac:dyDescent="0.25">
      <c r="A15" s="107" t="s">
        <v>11</v>
      </c>
      <c r="B15" s="107"/>
      <c r="C15" s="107"/>
      <c r="D15" s="109">
        <f>D14+D13+D12+D11+D10+D9+D8</f>
        <v>17.82</v>
      </c>
      <c r="E15" s="109">
        <f t="shared" ref="E15:O15" si="0">E14+E13+E12+E11+E10+E9+E8</f>
        <v>30.26</v>
      </c>
      <c r="F15" s="109">
        <f t="shared" si="0"/>
        <v>106.91000000000001</v>
      </c>
      <c r="G15" s="109">
        <f t="shared" si="0"/>
        <v>806.11</v>
      </c>
      <c r="H15" s="109">
        <f t="shared" si="0"/>
        <v>0.16500000000000001</v>
      </c>
      <c r="I15" s="109">
        <f t="shared" si="0"/>
        <v>21.93</v>
      </c>
      <c r="J15" s="109">
        <f t="shared" si="0"/>
        <v>33.92</v>
      </c>
      <c r="K15" s="109">
        <f t="shared" si="0"/>
        <v>8.19</v>
      </c>
      <c r="L15" s="109">
        <f t="shared" si="0"/>
        <v>132.67999999999998</v>
      </c>
      <c r="M15" s="109">
        <f t="shared" si="0"/>
        <v>291.89</v>
      </c>
      <c r="N15" s="109">
        <f t="shared" si="0"/>
        <v>93.63</v>
      </c>
      <c r="O15" s="109">
        <f t="shared" si="0"/>
        <v>5.1999999999999993</v>
      </c>
    </row>
    <row r="16" spans="1:15" s="29" customFormat="1" ht="18.75" x14ac:dyDescent="0.2">
      <c r="A16" s="319" t="s">
        <v>19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20"/>
    </row>
    <row r="17" spans="1:15" s="29" customFormat="1" ht="18.75" customHeight="1" x14ac:dyDescent="0.2">
      <c r="A17" s="160"/>
      <c r="B17" s="9"/>
      <c r="C17" s="147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s="29" customFormat="1" ht="12.75" x14ac:dyDescent="0.2">
      <c r="A18" s="15"/>
      <c r="B18" s="9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5">
      <c r="A19" s="15"/>
      <c r="B19" s="9"/>
      <c r="C19" s="14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4" customFormat="1" x14ac:dyDescent="0.25">
      <c r="A20" s="107" t="s">
        <v>50</v>
      </c>
      <c r="B20" s="107"/>
      <c r="C20" s="107"/>
      <c r="D20" s="109">
        <f>D19+D18+D17</f>
        <v>0</v>
      </c>
      <c r="E20" s="109">
        <f t="shared" ref="E20:O20" si="1">E19+E18+E17</f>
        <v>0</v>
      </c>
      <c r="F20" s="109">
        <f t="shared" si="1"/>
        <v>0</v>
      </c>
      <c r="G20" s="109">
        <f t="shared" si="1"/>
        <v>0</v>
      </c>
      <c r="H20" s="109">
        <f t="shared" si="1"/>
        <v>0</v>
      </c>
      <c r="I20" s="109">
        <f t="shared" si="1"/>
        <v>0</v>
      </c>
      <c r="J20" s="109">
        <f t="shared" si="1"/>
        <v>0</v>
      </c>
      <c r="K20" s="109">
        <f t="shared" si="1"/>
        <v>0</v>
      </c>
      <c r="L20" s="109">
        <f t="shared" si="1"/>
        <v>0</v>
      </c>
      <c r="M20" s="109">
        <f t="shared" si="1"/>
        <v>0</v>
      </c>
      <c r="N20" s="109">
        <f t="shared" si="1"/>
        <v>0</v>
      </c>
      <c r="O20" s="109">
        <f t="shared" si="1"/>
        <v>0</v>
      </c>
    </row>
    <row r="21" spans="1:15" x14ac:dyDescent="0.25">
      <c r="A21" s="107" t="s">
        <v>15</v>
      </c>
      <c r="B21" s="108"/>
      <c r="C21" s="108"/>
      <c r="D21" s="109">
        <f>D15+D20</f>
        <v>17.82</v>
      </c>
      <c r="E21" s="109">
        <f t="shared" ref="E21:O21" si="2">E15+E20</f>
        <v>30.26</v>
      </c>
      <c r="F21" s="109">
        <f t="shared" si="2"/>
        <v>106.91000000000001</v>
      </c>
      <c r="G21" s="109">
        <f t="shared" si="2"/>
        <v>806.11</v>
      </c>
      <c r="H21" s="109">
        <f t="shared" si="2"/>
        <v>0.16500000000000001</v>
      </c>
      <c r="I21" s="109">
        <f t="shared" si="2"/>
        <v>21.93</v>
      </c>
      <c r="J21" s="109">
        <f t="shared" si="2"/>
        <v>33.92</v>
      </c>
      <c r="K21" s="109">
        <f t="shared" si="2"/>
        <v>8.19</v>
      </c>
      <c r="L21" s="109">
        <f t="shared" si="2"/>
        <v>132.67999999999998</v>
      </c>
      <c r="M21" s="109">
        <f t="shared" si="2"/>
        <v>291.89</v>
      </c>
      <c r="N21" s="109">
        <f t="shared" si="2"/>
        <v>93.63</v>
      </c>
      <c r="O21" s="109">
        <f t="shared" si="2"/>
        <v>5.1999999999999993</v>
      </c>
    </row>
    <row r="22" spans="1:15" ht="15.75" thickBot="1" x14ac:dyDescent="0.3"/>
    <row r="23" spans="1:15" ht="26.25" thickBot="1" x14ac:dyDescent="0.3">
      <c r="B23" s="253" t="s">
        <v>51</v>
      </c>
      <c r="C23" s="254"/>
      <c r="D23" s="254"/>
      <c r="E23" s="254"/>
      <c r="F23" s="244" t="s">
        <v>52</v>
      </c>
      <c r="G23" s="245"/>
      <c r="H23" s="246"/>
      <c r="I23" s="38" t="s">
        <v>53</v>
      </c>
    </row>
    <row r="24" spans="1:15" ht="15.75" thickBot="1" x14ac:dyDescent="0.3">
      <c r="B24" s="259"/>
      <c r="C24" s="260"/>
      <c r="D24" s="260"/>
      <c r="E24" s="260"/>
      <c r="F24" s="39" t="s">
        <v>1</v>
      </c>
      <c r="G24" s="39" t="s">
        <v>2</v>
      </c>
      <c r="H24" s="39" t="s">
        <v>3</v>
      </c>
      <c r="I24" s="40"/>
    </row>
    <row r="25" spans="1:15" ht="15.75" thickBot="1" x14ac:dyDescent="0.3">
      <c r="B25" s="228" t="s">
        <v>54</v>
      </c>
      <c r="C25" s="229"/>
      <c r="D25" s="229"/>
      <c r="E25" s="229"/>
      <c r="F25" s="41">
        <f>D21</f>
        <v>17.82</v>
      </c>
      <c r="G25" s="41">
        <f>E21</f>
        <v>30.26</v>
      </c>
      <c r="H25" s="41">
        <f>F21</f>
        <v>106.91000000000001</v>
      </c>
      <c r="I25" s="41">
        <f>G21</f>
        <v>806.11</v>
      </c>
    </row>
    <row r="26" spans="1:15" ht="30.75" customHeight="1" x14ac:dyDescent="0.25"/>
    <row r="27" spans="1:15" ht="21.75" customHeight="1" x14ac:dyDescent="0.25">
      <c r="A27" s="18"/>
      <c r="B27" s="250" t="s">
        <v>95</v>
      </c>
      <c r="C27" s="250"/>
      <c r="D27" s="250"/>
      <c r="E27" s="250"/>
      <c r="F27" s="250"/>
      <c r="G27" s="250"/>
      <c r="H27" s="250"/>
    </row>
    <row r="28" spans="1:15" ht="21.75" customHeight="1" x14ac:dyDescent="0.25">
      <c r="A28" s="18"/>
      <c r="B28" s="79" t="s">
        <v>57</v>
      </c>
      <c r="C28" s="264" t="s">
        <v>58</v>
      </c>
      <c r="D28" s="264"/>
      <c r="E28" s="264"/>
      <c r="F28" s="264"/>
      <c r="G28" s="251" t="s">
        <v>96</v>
      </c>
      <c r="H28" s="252"/>
      <c r="K28" s="13" t="s">
        <v>37</v>
      </c>
      <c r="L28" s="12" t="s">
        <v>47</v>
      </c>
    </row>
    <row r="29" spans="1:15" ht="25.5" x14ac:dyDescent="0.25">
      <c r="A29" s="18"/>
      <c r="B29" s="248"/>
      <c r="C29" s="247" t="s">
        <v>59</v>
      </c>
      <c r="D29" s="225"/>
      <c r="E29" s="247" t="s">
        <v>60</v>
      </c>
      <c r="F29" s="225"/>
      <c r="G29" s="79" t="s">
        <v>59</v>
      </c>
      <c r="H29" s="79" t="s">
        <v>60</v>
      </c>
      <c r="K29" s="13" t="s">
        <v>39</v>
      </c>
      <c r="L29" s="12" t="s">
        <v>40</v>
      </c>
    </row>
    <row r="30" spans="1:15" ht="30" x14ac:dyDescent="0.25">
      <c r="A30" s="18"/>
      <c r="B30" s="249"/>
      <c r="C30" s="224" t="s">
        <v>109</v>
      </c>
      <c r="D30" s="225"/>
      <c r="E30" s="224" t="s">
        <v>109</v>
      </c>
      <c r="F30" s="225"/>
      <c r="G30" s="162" t="s">
        <v>109</v>
      </c>
      <c r="H30" s="162" t="s">
        <v>109</v>
      </c>
      <c r="K30" s="13" t="s">
        <v>41</v>
      </c>
      <c r="L30" s="12" t="s">
        <v>42</v>
      </c>
    </row>
    <row r="31" spans="1:15" ht="31.5" x14ac:dyDescent="0.25">
      <c r="A31" s="18"/>
      <c r="B31" s="80" t="s">
        <v>61</v>
      </c>
      <c r="C31" s="222">
        <v>80</v>
      </c>
      <c r="D31" s="223"/>
      <c r="E31" s="222">
        <v>80</v>
      </c>
      <c r="F31" s="223"/>
      <c r="G31" s="81">
        <v>40</v>
      </c>
      <c r="H31" s="81">
        <v>40</v>
      </c>
      <c r="K31" s="13" t="s">
        <v>43</v>
      </c>
      <c r="L31" s="12" t="s">
        <v>44</v>
      </c>
    </row>
    <row r="32" spans="1:15" x14ac:dyDescent="0.25">
      <c r="A32" s="18"/>
      <c r="B32" s="80" t="s">
        <v>62</v>
      </c>
      <c r="C32" s="222">
        <v>150</v>
      </c>
      <c r="D32" s="223"/>
      <c r="E32" s="222">
        <v>150</v>
      </c>
      <c r="F32" s="223"/>
      <c r="G32" s="81">
        <f>40+30+8</f>
        <v>78</v>
      </c>
      <c r="H32" s="81">
        <v>78</v>
      </c>
    </row>
    <row r="33" spans="1:8" x14ac:dyDescent="0.25">
      <c r="A33" s="18"/>
      <c r="B33" s="80" t="s">
        <v>63</v>
      </c>
      <c r="C33" s="222">
        <v>15</v>
      </c>
      <c r="D33" s="223"/>
      <c r="E33" s="222">
        <v>15</v>
      </c>
      <c r="F33" s="223"/>
      <c r="G33" s="81">
        <f>4+3.75+35.56+1.48</f>
        <v>44.79</v>
      </c>
      <c r="H33" s="81">
        <v>44.79</v>
      </c>
    </row>
    <row r="34" spans="1:8" x14ac:dyDescent="0.25">
      <c r="A34" s="18"/>
      <c r="B34" s="82" t="s">
        <v>64</v>
      </c>
      <c r="C34" s="226">
        <v>45</v>
      </c>
      <c r="D34" s="227"/>
      <c r="E34" s="226">
        <v>45</v>
      </c>
      <c r="F34" s="227"/>
      <c r="G34" s="83">
        <f>40+35</f>
        <v>75</v>
      </c>
      <c r="H34" s="83">
        <v>75</v>
      </c>
    </row>
    <row r="35" spans="1:8" x14ac:dyDescent="0.25">
      <c r="A35" s="18"/>
      <c r="B35" s="80" t="s">
        <v>65</v>
      </c>
      <c r="C35" s="222">
        <v>15</v>
      </c>
      <c r="D35" s="223"/>
      <c r="E35" s="222">
        <v>15</v>
      </c>
      <c r="F35" s="223"/>
      <c r="G35" s="81"/>
      <c r="H35" s="81"/>
    </row>
    <row r="36" spans="1:8" x14ac:dyDescent="0.25">
      <c r="A36" s="18"/>
      <c r="B36" s="80" t="s">
        <v>66</v>
      </c>
      <c r="C36" s="222" t="s">
        <v>67</v>
      </c>
      <c r="D36" s="223"/>
      <c r="E36" s="220">
        <v>188</v>
      </c>
      <c r="F36" s="221"/>
      <c r="G36" s="81">
        <v>40</v>
      </c>
      <c r="H36" s="81">
        <v>30</v>
      </c>
    </row>
    <row r="37" spans="1:8" x14ac:dyDescent="0.25">
      <c r="A37" s="18"/>
      <c r="B37" s="80" t="s">
        <v>68</v>
      </c>
      <c r="C37" s="222">
        <v>350</v>
      </c>
      <c r="D37" s="223"/>
      <c r="E37" s="222" t="s">
        <v>69</v>
      </c>
      <c r="F37" s="223"/>
      <c r="G37" s="81">
        <f>85.6+24+5+63+12.5+3.25+12+2.5</f>
        <v>207.85</v>
      </c>
      <c r="H37" s="102">
        <f>67+20+50+10+2.5+10+2.5</f>
        <v>162</v>
      </c>
    </row>
    <row r="38" spans="1:8" x14ac:dyDescent="0.25">
      <c r="A38" s="18"/>
      <c r="B38" s="80" t="s">
        <v>70</v>
      </c>
      <c r="C38" s="222">
        <v>200</v>
      </c>
      <c r="D38" s="223"/>
      <c r="E38" s="222" t="s">
        <v>71</v>
      </c>
      <c r="F38" s="223"/>
      <c r="G38" s="81">
        <f>35.7+100</f>
        <v>135.69999999999999</v>
      </c>
      <c r="H38" s="81">
        <v>135.69999999999999</v>
      </c>
    </row>
    <row r="39" spans="1:8" ht="25.5" x14ac:dyDescent="0.25">
      <c r="A39" s="18"/>
      <c r="B39" s="80" t="s">
        <v>72</v>
      </c>
      <c r="C39" s="222">
        <v>15</v>
      </c>
      <c r="D39" s="223"/>
      <c r="E39" s="222">
        <v>15</v>
      </c>
      <c r="F39" s="223"/>
      <c r="G39" s="81"/>
      <c r="H39" s="81"/>
    </row>
    <row r="40" spans="1:8" ht="38.25" x14ac:dyDescent="0.25">
      <c r="A40" s="18"/>
      <c r="B40" s="80" t="s">
        <v>73</v>
      </c>
      <c r="C40" s="222">
        <v>200</v>
      </c>
      <c r="D40" s="223"/>
      <c r="E40" s="222">
        <v>200</v>
      </c>
      <c r="F40" s="223"/>
      <c r="G40" s="81">
        <v>200</v>
      </c>
      <c r="H40" s="81">
        <v>200</v>
      </c>
    </row>
    <row r="41" spans="1:8" ht="25.5" x14ac:dyDescent="0.25">
      <c r="A41" s="18"/>
      <c r="B41" s="80" t="s">
        <v>74</v>
      </c>
      <c r="C41" s="222" t="s">
        <v>75</v>
      </c>
      <c r="D41" s="223"/>
      <c r="E41" s="222">
        <v>70</v>
      </c>
      <c r="F41" s="223"/>
      <c r="G41" s="102">
        <f>52+40</f>
        <v>92</v>
      </c>
      <c r="H41" s="81">
        <f>38+25</f>
        <v>63</v>
      </c>
    </row>
    <row r="42" spans="1:8" ht="25.5" x14ac:dyDescent="0.25">
      <c r="A42" s="18"/>
      <c r="B42" s="80" t="s">
        <v>76</v>
      </c>
      <c r="C42" s="222" t="s">
        <v>77</v>
      </c>
      <c r="D42" s="223"/>
      <c r="E42" s="222">
        <v>35</v>
      </c>
      <c r="F42" s="223"/>
      <c r="G42" s="81"/>
      <c r="H42" s="81"/>
    </row>
    <row r="43" spans="1:8" x14ac:dyDescent="0.25">
      <c r="A43" s="18"/>
      <c r="B43" s="80" t="s">
        <v>78</v>
      </c>
      <c r="C43" s="222">
        <v>60</v>
      </c>
      <c r="D43" s="223"/>
      <c r="E43" s="222">
        <v>58</v>
      </c>
      <c r="F43" s="223"/>
      <c r="G43" s="81"/>
      <c r="H43" s="81"/>
    </row>
    <row r="44" spans="1:8" x14ac:dyDescent="0.25">
      <c r="A44" s="18"/>
      <c r="B44" s="80" t="s">
        <v>79</v>
      </c>
      <c r="C44" s="222">
        <v>15</v>
      </c>
      <c r="D44" s="223"/>
      <c r="E44" s="222">
        <v>14.7</v>
      </c>
      <c r="F44" s="223"/>
      <c r="G44" s="81"/>
      <c r="H44" s="81"/>
    </row>
    <row r="45" spans="1:8" ht="25.5" x14ac:dyDescent="0.25">
      <c r="A45" s="18"/>
      <c r="B45" s="80" t="s">
        <v>80</v>
      </c>
      <c r="C45" s="222">
        <v>300</v>
      </c>
      <c r="D45" s="223"/>
      <c r="E45" s="222">
        <v>300</v>
      </c>
      <c r="F45" s="223"/>
      <c r="G45" s="81">
        <f>100+211+100</f>
        <v>411</v>
      </c>
      <c r="H45" s="81">
        <f>400</f>
        <v>400</v>
      </c>
    </row>
    <row r="46" spans="1:8" ht="38.25" x14ac:dyDescent="0.25">
      <c r="A46" s="18"/>
      <c r="B46" s="80" t="s">
        <v>81</v>
      </c>
      <c r="C46" s="222">
        <v>150</v>
      </c>
      <c r="D46" s="223"/>
      <c r="E46" s="222">
        <v>150</v>
      </c>
      <c r="F46" s="223"/>
      <c r="G46" s="81"/>
      <c r="H46" s="81"/>
    </row>
    <row r="47" spans="1:8" ht="25.5" x14ac:dyDescent="0.25">
      <c r="A47" s="18"/>
      <c r="B47" s="80" t="s">
        <v>82</v>
      </c>
      <c r="C47" s="222">
        <v>50</v>
      </c>
      <c r="D47" s="223"/>
      <c r="E47" s="222">
        <v>50</v>
      </c>
      <c r="F47" s="223"/>
      <c r="G47" s="81"/>
      <c r="H47" s="81"/>
    </row>
    <row r="48" spans="1:8" x14ac:dyDescent="0.25">
      <c r="A48" s="18"/>
      <c r="B48" s="80" t="s">
        <v>83</v>
      </c>
      <c r="C48" s="222">
        <v>10</v>
      </c>
      <c r="D48" s="223"/>
      <c r="E48" s="222">
        <v>9.8000000000000007</v>
      </c>
      <c r="F48" s="223"/>
      <c r="G48" s="81">
        <v>16</v>
      </c>
      <c r="H48" s="102">
        <v>15</v>
      </c>
    </row>
    <row r="49" spans="1:8" ht="25.5" x14ac:dyDescent="0.25">
      <c r="A49" s="18"/>
      <c r="B49" s="80" t="s">
        <v>84</v>
      </c>
      <c r="C49" s="222">
        <v>10</v>
      </c>
      <c r="D49" s="223"/>
      <c r="E49" s="222">
        <v>10</v>
      </c>
      <c r="F49" s="223"/>
      <c r="G49" s="86">
        <v>12.5</v>
      </c>
      <c r="H49" s="86"/>
    </row>
    <row r="50" spans="1:8" x14ac:dyDescent="0.25">
      <c r="A50" s="18"/>
      <c r="B50" s="80" t="s">
        <v>85</v>
      </c>
      <c r="C50" s="222">
        <v>30</v>
      </c>
      <c r="D50" s="223"/>
      <c r="E50" s="222">
        <v>30</v>
      </c>
      <c r="F50" s="223"/>
      <c r="G50" s="81">
        <f>10+10+1.1+1.5+1.3+5</f>
        <v>28.900000000000002</v>
      </c>
      <c r="H50" s="81">
        <v>28.9</v>
      </c>
    </row>
    <row r="51" spans="1:8" x14ac:dyDescent="0.25">
      <c r="A51" s="18"/>
      <c r="B51" s="80" t="s">
        <v>86</v>
      </c>
      <c r="C51" s="222">
        <v>15</v>
      </c>
      <c r="D51" s="223"/>
      <c r="E51" s="222">
        <v>15</v>
      </c>
      <c r="F51" s="223"/>
      <c r="G51" s="81">
        <f>6+3+3+5</f>
        <v>17</v>
      </c>
      <c r="H51" s="81">
        <v>17</v>
      </c>
    </row>
    <row r="52" spans="1:8" x14ac:dyDescent="0.25">
      <c r="A52" s="18"/>
      <c r="B52" s="80" t="s">
        <v>87</v>
      </c>
      <c r="C52" s="222" t="s">
        <v>88</v>
      </c>
      <c r="D52" s="223"/>
      <c r="E52" s="222">
        <v>40</v>
      </c>
      <c r="F52" s="223"/>
      <c r="G52" s="81"/>
      <c r="H52" s="81"/>
    </row>
    <row r="53" spans="1:8" x14ac:dyDescent="0.25">
      <c r="A53" s="18"/>
      <c r="B53" s="80" t="s">
        <v>89</v>
      </c>
      <c r="C53" s="222">
        <v>40</v>
      </c>
      <c r="D53" s="223"/>
      <c r="E53" s="220">
        <v>40</v>
      </c>
      <c r="F53" s="221"/>
      <c r="G53" s="81">
        <f>20+6+3+3.7+1</f>
        <v>33.700000000000003</v>
      </c>
      <c r="H53" s="81">
        <v>33.700000000000003</v>
      </c>
    </row>
    <row r="54" spans="1:8" x14ac:dyDescent="0.25">
      <c r="A54" s="18"/>
      <c r="B54" s="80" t="s">
        <v>90</v>
      </c>
      <c r="C54" s="220">
        <v>10</v>
      </c>
      <c r="D54" s="221"/>
      <c r="E54" s="222">
        <v>10</v>
      </c>
      <c r="F54" s="223"/>
      <c r="G54" s="81"/>
      <c r="H54" s="81"/>
    </row>
    <row r="55" spans="1:8" x14ac:dyDescent="0.25">
      <c r="A55" s="18"/>
      <c r="B55" s="80" t="s">
        <v>91</v>
      </c>
      <c r="C55" s="222">
        <v>0.4</v>
      </c>
      <c r="D55" s="223"/>
      <c r="E55" s="222">
        <v>0.4</v>
      </c>
      <c r="F55" s="223"/>
      <c r="G55" s="81"/>
      <c r="H55" s="81"/>
    </row>
    <row r="56" spans="1:8" x14ac:dyDescent="0.25">
      <c r="A56" s="18"/>
      <c r="B56" s="80" t="s">
        <v>92</v>
      </c>
      <c r="C56" s="222">
        <v>1.2</v>
      </c>
      <c r="D56" s="223"/>
      <c r="E56" s="222">
        <v>1.2</v>
      </c>
      <c r="F56" s="223"/>
      <c r="G56" s="81"/>
      <c r="H56" s="81"/>
    </row>
    <row r="57" spans="1:8" x14ac:dyDescent="0.25">
      <c r="A57" s="18"/>
      <c r="B57" s="80" t="s">
        <v>93</v>
      </c>
      <c r="C57" s="222">
        <v>1</v>
      </c>
      <c r="D57" s="223"/>
      <c r="E57" s="222">
        <v>1</v>
      </c>
      <c r="F57" s="223"/>
      <c r="G57" s="81">
        <v>0.56000000000000005</v>
      </c>
      <c r="H57" s="81">
        <v>0.56000000000000005</v>
      </c>
    </row>
    <row r="58" spans="1:8" x14ac:dyDescent="0.25">
      <c r="A58" s="18"/>
      <c r="B58" s="80" t="s">
        <v>94</v>
      </c>
      <c r="C58" s="222">
        <v>5</v>
      </c>
      <c r="D58" s="223"/>
      <c r="E58" s="222">
        <v>5</v>
      </c>
      <c r="F58" s="223"/>
      <c r="G58" s="81">
        <v>3.56</v>
      </c>
      <c r="H58" s="81">
        <v>3.56</v>
      </c>
    </row>
    <row r="59" spans="1:8" x14ac:dyDescent="0.25">
      <c r="A59" s="18"/>
      <c r="B59" s="18"/>
      <c r="C59" s="18"/>
      <c r="D59" s="18"/>
      <c r="E59" s="18"/>
      <c r="F59" s="18"/>
      <c r="G59" s="18"/>
      <c r="H59" s="18"/>
    </row>
    <row r="60" spans="1:8" x14ac:dyDescent="0.25">
      <c r="A60" s="18"/>
      <c r="B60" s="18"/>
      <c r="C60" s="18"/>
      <c r="D60" s="18"/>
      <c r="E60" s="18"/>
      <c r="F60" s="18"/>
      <c r="G60" s="18"/>
      <c r="H60" s="18"/>
    </row>
  </sheetData>
  <sheetProtection formatCells="0" formatColumns="0" formatRows="0" insertColumns="0" insertRows="0" insertHyperlinks="0" deleteColumns="0" deleteRows="0" sort="0" autoFilter="0" pivotTables="0"/>
  <mergeCells count="76">
    <mergeCell ref="H5:K5"/>
    <mergeCell ref="L5:O5"/>
    <mergeCell ref="A5:A6"/>
    <mergeCell ref="B5:B6"/>
    <mergeCell ref="C5:C6"/>
    <mergeCell ref="D5:F5"/>
    <mergeCell ref="G5:G6"/>
    <mergeCell ref="B23:E24"/>
    <mergeCell ref="F23:H23"/>
    <mergeCell ref="B25:E25"/>
    <mergeCell ref="A7:O7"/>
    <mergeCell ref="A16:O16"/>
    <mergeCell ref="B27:H27"/>
    <mergeCell ref="C28:F28"/>
    <mergeCell ref="B29:B30"/>
    <mergeCell ref="C29:D29"/>
    <mergeCell ref="E29:F29"/>
    <mergeCell ref="G28:H28"/>
    <mergeCell ref="E30:F30"/>
    <mergeCell ref="C30:D30"/>
    <mergeCell ref="C31:D31"/>
    <mergeCell ref="E31:F31"/>
    <mergeCell ref="C33:D33"/>
    <mergeCell ref="C32:D32"/>
    <mergeCell ref="E32:F32"/>
    <mergeCell ref="E33:F33"/>
    <mergeCell ref="E41:F41"/>
    <mergeCell ref="E42:F42"/>
    <mergeCell ref="E43:F43"/>
    <mergeCell ref="E45:F45"/>
    <mergeCell ref="E46:F46"/>
    <mergeCell ref="E56:F56"/>
    <mergeCell ref="E54:F54"/>
    <mergeCell ref="E57:F57"/>
    <mergeCell ref="E47:F47"/>
    <mergeCell ref="E48:F48"/>
    <mergeCell ref="C47:D47"/>
    <mergeCell ref="C46:D46"/>
    <mergeCell ref="C45:D45"/>
    <mergeCell ref="C44:D44"/>
    <mergeCell ref="E55:F55"/>
    <mergeCell ref="C52:D52"/>
    <mergeCell ref="C51:D51"/>
    <mergeCell ref="C50:D50"/>
    <mergeCell ref="C49:D49"/>
    <mergeCell ref="C48:D48"/>
    <mergeCell ref="E34:F34"/>
    <mergeCell ref="E35:F35"/>
    <mergeCell ref="E36:F36"/>
    <mergeCell ref="E37:F37"/>
    <mergeCell ref="E38:F38"/>
    <mergeCell ref="C37:D37"/>
    <mergeCell ref="C36:D36"/>
    <mergeCell ref="C35:D35"/>
    <mergeCell ref="C34:D34"/>
    <mergeCell ref="C43:D43"/>
    <mergeCell ref="C42:D42"/>
    <mergeCell ref="C41:D41"/>
    <mergeCell ref="C40:D40"/>
    <mergeCell ref="C39:D39"/>
    <mergeCell ref="E58:F58"/>
    <mergeCell ref="E49:F49"/>
    <mergeCell ref="E50:F50"/>
    <mergeCell ref="E51:F51"/>
    <mergeCell ref="C38:D38"/>
    <mergeCell ref="E39:F39"/>
    <mergeCell ref="E40:F40"/>
    <mergeCell ref="E52:F52"/>
    <mergeCell ref="E53:F53"/>
    <mergeCell ref="E44:F44"/>
    <mergeCell ref="C58:D58"/>
    <mergeCell ref="C57:D57"/>
    <mergeCell ref="C56:D56"/>
    <mergeCell ref="C55:D55"/>
    <mergeCell ref="C54:D54"/>
    <mergeCell ref="C53:D53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r:id="rId1"/>
  <rowBreaks count="1" manualBreakCount="1">
    <brk id="2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O78"/>
  <sheetViews>
    <sheetView view="pageBreakPreview" zoomScale="80" zoomScaleNormal="90" zoomScaleSheetLayoutView="80" workbookViewId="0">
      <selection activeCell="J10" sqref="J10"/>
    </sheetView>
  </sheetViews>
  <sheetFormatPr defaultRowHeight="15" x14ac:dyDescent="0.25"/>
  <cols>
    <col min="1" max="1" width="12.7109375" bestFit="1" customWidth="1"/>
    <col min="2" max="2" width="24.5703125" customWidth="1"/>
    <col min="4" max="4" width="9.140625" customWidth="1"/>
    <col min="6" max="6" width="9.28515625" bestFit="1" customWidth="1"/>
    <col min="7" max="7" width="12.7109375" customWidth="1"/>
    <col min="8" max="8" width="11.140625" customWidth="1"/>
    <col min="9" max="9" width="12.42578125" customWidth="1"/>
    <col min="10" max="10" width="13.140625" customWidth="1"/>
    <col min="12" max="13" width="10.140625" bestFit="1" customWidth="1"/>
  </cols>
  <sheetData>
    <row r="1" spans="1:15" ht="15.75" x14ac:dyDescent="0.25">
      <c r="A1" s="13" t="s">
        <v>37</v>
      </c>
      <c r="B1" s="12" t="s">
        <v>48</v>
      </c>
    </row>
    <row r="2" spans="1:15" ht="15.75" x14ac:dyDescent="0.25">
      <c r="A2" s="13" t="s">
        <v>39</v>
      </c>
      <c r="B2" s="12" t="s">
        <v>40</v>
      </c>
    </row>
    <row r="3" spans="1:15" ht="15.75" x14ac:dyDescent="0.25">
      <c r="A3" s="13" t="s">
        <v>41</v>
      </c>
      <c r="B3" s="12" t="s">
        <v>42</v>
      </c>
    </row>
    <row r="4" spans="1:15" ht="31.5" x14ac:dyDescent="0.25">
      <c r="A4" s="13" t="s">
        <v>43</v>
      </c>
      <c r="B4" s="12" t="s">
        <v>44</v>
      </c>
    </row>
    <row r="5" spans="1:15" ht="15.75" x14ac:dyDescent="0.25">
      <c r="A5" s="324" t="s">
        <v>27</v>
      </c>
      <c r="B5" s="324" t="s">
        <v>18</v>
      </c>
      <c r="C5" s="324" t="s">
        <v>21</v>
      </c>
      <c r="D5" s="321" t="s">
        <v>30</v>
      </c>
      <c r="E5" s="322"/>
      <c r="F5" s="323"/>
      <c r="G5" s="324" t="s">
        <v>0</v>
      </c>
      <c r="H5" s="321" t="s">
        <v>29</v>
      </c>
      <c r="I5" s="322"/>
      <c r="J5" s="322"/>
      <c r="K5" s="323"/>
      <c r="L5" s="321" t="s">
        <v>28</v>
      </c>
      <c r="M5" s="322"/>
      <c r="N5" s="322"/>
      <c r="O5" s="323"/>
    </row>
    <row r="6" spans="1:15" ht="15.75" x14ac:dyDescent="0.25">
      <c r="A6" s="325"/>
      <c r="B6" s="326"/>
      <c r="C6" s="327"/>
      <c r="D6" s="7" t="s">
        <v>1</v>
      </c>
      <c r="E6" s="7" t="s">
        <v>2</v>
      </c>
      <c r="F6" s="7" t="s">
        <v>3</v>
      </c>
      <c r="G6" s="325"/>
      <c r="H6" s="7" t="s">
        <v>17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10</v>
      </c>
    </row>
    <row r="7" spans="1:15" s="14" customFormat="1" ht="18.75" x14ac:dyDescent="0.25">
      <c r="B7" s="58"/>
      <c r="C7" s="58"/>
      <c r="D7" s="58"/>
      <c r="E7" s="58"/>
      <c r="F7" s="58"/>
      <c r="G7" s="55" t="s">
        <v>20</v>
      </c>
      <c r="H7" s="58"/>
      <c r="I7" s="58"/>
      <c r="J7" s="58"/>
      <c r="K7" s="58"/>
      <c r="L7" s="58"/>
      <c r="M7" s="58"/>
      <c r="N7" s="58"/>
      <c r="O7" s="59"/>
    </row>
    <row r="8" spans="1:15" s="14" customFormat="1" ht="25.5" x14ac:dyDescent="0.25">
      <c r="A8" s="158">
        <v>59</v>
      </c>
      <c r="B8" s="9" t="s">
        <v>104</v>
      </c>
      <c r="C8" s="158">
        <v>100</v>
      </c>
      <c r="D8" s="16">
        <v>1.06</v>
      </c>
      <c r="E8" s="16">
        <v>0.17</v>
      </c>
      <c r="F8" s="16">
        <v>8.52</v>
      </c>
      <c r="G8" s="16">
        <v>39.9</v>
      </c>
      <c r="H8" s="16">
        <v>5.0000000000000001E-3</v>
      </c>
      <c r="I8" s="16">
        <v>4.38</v>
      </c>
      <c r="J8" s="16"/>
      <c r="K8" s="16">
        <v>0.35</v>
      </c>
      <c r="L8" s="16">
        <v>23.99</v>
      </c>
      <c r="M8" s="16">
        <v>44.53</v>
      </c>
      <c r="N8" s="16">
        <v>30.39</v>
      </c>
      <c r="O8" s="16">
        <v>1.07</v>
      </c>
    </row>
    <row r="9" spans="1:15" s="29" customFormat="1" ht="38.25" x14ac:dyDescent="0.2">
      <c r="A9" s="71">
        <v>96</v>
      </c>
      <c r="B9" s="137" t="s">
        <v>114</v>
      </c>
      <c r="C9" s="145">
        <v>250</v>
      </c>
      <c r="D9" s="69">
        <v>2.82</v>
      </c>
      <c r="E9" s="69">
        <v>5.29</v>
      </c>
      <c r="F9" s="69">
        <v>11.98</v>
      </c>
      <c r="G9" s="69">
        <v>142.25</v>
      </c>
      <c r="H9" s="69">
        <v>0.09</v>
      </c>
      <c r="I9" s="69">
        <v>8.3800000000000008</v>
      </c>
      <c r="J9" s="69"/>
      <c r="K9" s="69">
        <v>2.35</v>
      </c>
      <c r="L9" s="69">
        <v>31.15</v>
      </c>
      <c r="M9" s="69">
        <v>56.73</v>
      </c>
      <c r="N9" s="69">
        <v>24.18</v>
      </c>
      <c r="O9" s="69">
        <v>0.93</v>
      </c>
    </row>
    <row r="10" spans="1:15" s="14" customFormat="1" ht="25.5" x14ac:dyDescent="0.25">
      <c r="A10" s="158">
        <v>302</v>
      </c>
      <c r="B10" s="9" t="s">
        <v>16</v>
      </c>
      <c r="C10" s="158">
        <v>150</v>
      </c>
      <c r="D10" s="16">
        <v>8.6</v>
      </c>
      <c r="E10" s="16">
        <v>6.09</v>
      </c>
      <c r="F10" s="16">
        <v>38.64</v>
      </c>
      <c r="G10" s="16">
        <v>243.75</v>
      </c>
      <c r="H10" s="16">
        <v>0.21</v>
      </c>
      <c r="I10" s="16"/>
      <c r="J10" s="16"/>
      <c r="K10" s="16">
        <v>0.61</v>
      </c>
      <c r="L10" s="16">
        <v>14.82</v>
      </c>
      <c r="M10" s="16">
        <v>203.93</v>
      </c>
      <c r="N10" s="16">
        <v>135.83000000000001</v>
      </c>
      <c r="O10" s="16">
        <v>4.5599999999999996</v>
      </c>
    </row>
    <row r="11" spans="1:15" s="14" customFormat="1" ht="25.5" x14ac:dyDescent="0.25">
      <c r="A11" s="133">
        <v>295</v>
      </c>
      <c r="B11" s="9" t="s">
        <v>127</v>
      </c>
      <c r="C11" s="142">
        <v>100</v>
      </c>
      <c r="D11" s="16">
        <v>15.3</v>
      </c>
      <c r="E11" s="16">
        <v>29.4</v>
      </c>
      <c r="F11" s="16">
        <v>15.46</v>
      </c>
      <c r="G11" s="16">
        <v>388</v>
      </c>
      <c r="H11" s="16">
        <v>0.1</v>
      </c>
      <c r="I11" s="16">
        <v>1.04</v>
      </c>
      <c r="J11" s="16">
        <v>91.4</v>
      </c>
      <c r="K11" s="16">
        <v>2.9</v>
      </c>
      <c r="L11" s="16">
        <v>55.54</v>
      </c>
      <c r="M11" s="16">
        <v>97.54</v>
      </c>
      <c r="N11" s="16">
        <v>20.8</v>
      </c>
      <c r="O11" s="16">
        <v>1.42</v>
      </c>
    </row>
    <row r="12" spans="1:15" s="14" customFormat="1" x14ac:dyDescent="0.25">
      <c r="A12" s="50"/>
      <c r="B12" s="9" t="s">
        <v>125</v>
      </c>
      <c r="C12" s="142">
        <v>150</v>
      </c>
      <c r="D12" s="16">
        <v>0.5</v>
      </c>
      <c r="E12" s="16">
        <v>0</v>
      </c>
      <c r="F12" s="16">
        <v>39.83</v>
      </c>
      <c r="G12" s="16">
        <v>162.36000000000001</v>
      </c>
      <c r="H12" s="16">
        <v>0</v>
      </c>
      <c r="I12" s="16">
        <v>4</v>
      </c>
      <c r="J12" s="16">
        <v>0</v>
      </c>
      <c r="K12" s="16">
        <v>0</v>
      </c>
      <c r="L12" s="16">
        <v>14.8</v>
      </c>
      <c r="M12" s="16">
        <v>15.6</v>
      </c>
      <c r="N12" s="16">
        <v>3.4</v>
      </c>
      <c r="O12" s="16">
        <v>0.2</v>
      </c>
    </row>
    <row r="13" spans="1:15" s="14" customFormat="1" x14ac:dyDescent="0.25">
      <c r="A13" s="50"/>
      <c r="B13" s="9" t="s">
        <v>14</v>
      </c>
      <c r="C13" s="142">
        <v>40</v>
      </c>
      <c r="D13" s="16">
        <v>2.2400000000000002</v>
      </c>
      <c r="E13" s="16">
        <v>0.88</v>
      </c>
      <c r="F13" s="16">
        <v>19.760000000000002</v>
      </c>
      <c r="G13" s="16">
        <v>91.96</v>
      </c>
      <c r="H13" s="16">
        <v>0.04</v>
      </c>
      <c r="I13" s="16"/>
      <c r="J13" s="16"/>
      <c r="K13" s="16">
        <v>0.36</v>
      </c>
      <c r="L13" s="16">
        <v>9.1999999999999993</v>
      </c>
      <c r="M13" s="16">
        <v>42.4</v>
      </c>
      <c r="N13" s="16">
        <v>10</v>
      </c>
      <c r="O13" s="16">
        <v>1.24</v>
      </c>
    </row>
    <row r="14" spans="1:15" s="14" customFormat="1" x14ac:dyDescent="0.25">
      <c r="A14" s="50"/>
      <c r="B14" s="9"/>
      <c r="C14" s="10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14" customFormat="1" x14ac:dyDescent="0.25">
      <c r="A15" s="107" t="s">
        <v>11</v>
      </c>
      <c r="B15" s="108"/>
      <c r="C15" s="108"/>
      <c r="D15" s="110">
        <f>D14+D13+D12+D11+D10+D9+D8</f>
        <v>30.52</v>
      </c>
      <c r="E15" s="110">
        <f t="shared" ref="E15:O15" si="0">E14+E13+E12+E11+E10+E9+E8</f>
        <v>41.83</v>
      </c>
      <c r="F15" s="110">
        <f t="shared" si="0"/>
        <v>134.19000000000003</v>
      </c>
      <c r="G15" s="110">
        <f t="shared" si="0"/>
        <v>1068.22</v>
      </c>
      <c r="H15" s="110">
        <f t="shared" si="0"/>
        <v>0.44499999999999995</v>
      </c>
      <c r="I15" s="110">
        <f t="shared" si="0"/>
        <v>17.8</v>
      </c>
      <c r="J15" s="110">
        <f t="shared" si="0"/>
        <v>91.4</v>
      </c>
      <c r="K15" s="110">
        <f t="shared" si="0"/>
        <v>6.5699999999999994</v>
      </c>
      <c r="L15" s="110">
        <f t="shared" si="0"/>
        <v>149.5</v>
      </c>
      <c r="M15" s="110">
        <f t="shared" si="0"/>
        <v>460.73</v>
      </c>
      <c r="N15" s="110">
        <f t="shared" si="0"/>
        <v>224.60000000000002</v>
      </c>
      <c r="O15" s="110">
        <f t="shared" si="0"/>
        <v>9.42</v>
      </c>
    </row>
    <row r="16" spans="1:15" ht="18.75" x14ac:dyDescent="0.25">
      <c r="B16" s="53"/>
      <c r="C16" s="53"/>
      <c r="D16" s="53"/>
      <c r="E16" s="53"/>
      <c r="F16" s="53"/>
      <c r="G16" s="52" t="s">
        <v>19</v>
      </c>
      <c r="H16" s="53"/>
      <c r="I16" s="53"/>
      <c r="J16" s="53"/>
      <c r="K16" s="53"/>
      <c r="L16" s="53"/>
      <c r="M16" s="53"/>
      <c r="N16" s="53"/>
      <c r="O16" s="54"/>
    </row>
    <row r="17" spans="1:15" s="46" customFormat="1" ht="12.75" x14ac:dyDescent="0.2">
      <c r="A17" s="45"/>
      <c r="B17" s="35"/>
      <c r="C17" s="45"/>
      <c r="D17" s="118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s="14" customFormat="1" x14ac:dyDescent="0.25">
      <c r="A18" s="15"/>
      <c r="B18" s="9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14" customFormat="1" x14ac:dyDescent="0.25">
      <c r="A19" s="15"/>
      <c r="B19" s="9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5">
      <c r="A20" s="107" t="s">
        <v>11</v>
      </c>
      <c r="B20" s="108"/>
      <c r="C20" s="108"/>
      <c r="D20" s="180">
        <f>D19+D18+D17</f>
        <v>0</v>
      </c>
      <c r="E20" s="180">
        <f t="shared" ref="E20:O20" si="1">E19+E18+E17</f>
        <v>0</v>
      </c>
      <c r="F20" s="180">
        <f t="shared" si="1"/>
        <v>0</v>
      </c>
      <c r="G20" s="180">
        <f t="shared" si="1"/>
        <v>0</v>
      </c>
      <c r="H20" s="180">
        <f t="shared" si="1"/>
        <v>0</v>
      </c>
      <c r="I20" s="180">
        <f t="shared" si="1"/>
        <v>0</v>
      </c>
      <c r="J20" s="180">
        <f t="shared" si="1"/>
        <v>0</v>
      </c>
      <c r="K20" s="180">
        <f t="shared" si="1"/>
        <v>0</v>
      </c>
      <c r="L20" s="180">
        <f t="shared" si="1"/>
        <v>0</v>
      </c>
      <c r="M20" s="180">
        <f t="shared" si="1"/>
        <v>0</v>
      </c>
      <c r="N20" s="180">
        <f t="shared" si="1"/>
        <v>0</v>
      </c>
      <c r="O20" s="180">
        <f t="shared" si="1"/>
        <v>0</v>
      </c>
    </row>
    <row r="21" spans="1:15" ht="15" customHeight="1" x14ac:dyDescent="0.25">
      <c r="A21" s="107" t="s">
        <v>15</v>
      </c>
      <c r="B21" s="108"/>
      <c r="C21" s="108"/>
      <c r="D21" s="111">
        <f>D15+D20</f>
        <v>30.52</v>
      </c>
      <c r="E21" s="111">
        <f t="shared" ref="E21:O21" si="2">E15+E20</f>
        <v>41.83</v>
      </c>
      <c r="F21" s="111">
        <f t="shared" si="2"/>
        <v>134.19000000000003</v>
      </c>
      <c r="G21" s="111">
        <f t="shared" si="2"/>
        <v>1068.22</v>
      </c>
      <c r="H21" s="111">
        <f t="shared" si="2"/>
        <v>0.44499999999999995</v>
      </c>
      <c r="I21" s="111">
        <f t="shared" si="2"/>
        <v>17.8</v>
      </c>
      <c r="J21" s="111">
        <f t="shared" si="2"/>
        <v>91.4</v>
      </c>
      <c r="K21" s="111">
        <f t="shared" si="2"/>
        <v>6.5699999999999994</v>
      </c>
      <c r="L21" s="111">
        <f t="shared" si="2"/>
        <v>149.5</v>
      </c>
      <c r="M21" s="111">
        <f t="shared" si="2"/>
        <v>460.73</v>
      </c>
      <c r="N21" s="111">
        <f t="shared" si="2"/>
        <v>224.60000000000002</v>
      </c>
      <c r="O21" s="111">
        <f t="shared" si="2"/>
        <v>9.42</v>
      </c>
    </row>
    <row r="22" spans="1:15" ht="15.75" thickBot="1" x14ac:dyDescent="0.3"/>
    <row r="23" spans="1:15" ht="26.25" thickBot="1" x14ac:dyDescent="0.3">
      <c r="A23" s="18"/>
      <c r="B23" s="18"/>
      <c r="C23" s="253" t="s">
        <v>51</v>
      </c>
      <c r="D23" s="254"/>
      <c r="E23" s="254"/>
      <c r="F23" s="254"/>
      <c r="G23" s="244" t="s">
        <v>52</v>
      </c>
      <c r="H23" s="245"/>
      <c r="I23" s="246"/>
      <c r="J23" s="38" t="s">
        <v>53</v>
      </c>
      <c r="K23" s="18"/>
      <c r="L23" s="18"/>
      <c r="M23" s="18"/>
      <c r="N23" s="18"/>
      <c r="O23" s="18"/>
    </row>
    <row r="24" spans="1:15" s="14" customFormat="1" ht="15.75" thickBot="1" x14ac:dyDescent="0.3">
      <c r="A24" s="42"/>
      <c r="B24" s="43"/>
      <c r="C24" s="259"/>
      <c r="D24" s="260"/>
      <c r="E24" s="260"/>
      <c r="F24" s="260"/>
      <c r="G24" s="39" t="s">
        <v>1</v>
      </c>
      <c r="H24" s="39" t="s">
        <v>2</v>
      </c>
      <c r="I24" s="39" t="s">
        <v>3</v>
      </c>
      <c r="J24" s="40"/>
      <c r="K24" s="44"/>
      <c r="L24" s="44"/>
      <c r="M24" s="44"/>
      <c r="N24" s="44"/>
      <c r="O24" s="44"/>
    </row>
    <row r="25" spans="1:15" ht="15.75" thickBot="1" x14ac:dyDescent="0.3">
      <c r="A25" s="18"/>
      <c r="B25" s="18"/>
      <c r="C25" s="228" t="s">
        <v>54</v>
      </c>
      <c r="D25" s="229"/>
      <c r="E25" s="229"/>
      <c r="F25" s="229"/>
      <c r="G25" s="41">
        <f>D21</f>
        <v>30.52</v>
      </c>
      <c r="H25" s="41">
        <f>E21</f>
        <v>41.83</v>
      </c>
      <c r="I25" s="41">
        <f>F21</f>
        <v>134.19000000000003</v>
      </c>
      <c r="J25" s="41">
        <f>G21</f>
        <v>1068.22</v>
      </c>
      <c r="K25" s="18"/>
      <c r="L25" s="18"/>
      <c r="M25" s="18"/>
      <c r="N25" s="18"/>
      <c r="O25" s="18"/>
    </row>
    <row r="26" spans="1:15" x14ac:dyDescent="0.25">
      <c r="K26" s="18"/>
      <c r="L26" s="18"/>
      <c r="M26" s="18"/>
      <c r="N26" s="18"/>
      <c r="O26" s="18"/>
    </row>
    <row r="27" spans="1:15" ht="47.25" customHeight="1" x14ac:dyDescent="0.25">
      <c r="B27" s="250" t="s">
        <v>95</v>
      </c>
      <c r="C27" s="250"/>
      <c r="D27" s="250"/>
      <c r="E27" s="250"/>
      <c r="F27" s="250"/>
      <c r="G27" s="250"/>
      <c r="H27" s="250"/>
    </row>
    <row r="28" spans="1:15" ht="27" customHeight="1" x14ac:dyDescent="0.25">
      <c r="B28" s="79" t="s">
        <v>57</v>
      </c>
      <c r="C28" s="264" t="s">
        <v>58</v>
      </c>
      <c r="D28" s="264"/>
      <c r="E28" s="264"/>
      <c r="F28" s="264"/>
      <c r="G28" s="251" t="s">
        <v>96</v>
      </c>
      <c r="H28" s="252"/>
      <c r="K28" s="13" t="s">
        <v>37</v>
      </c>
      <c r="L28" s="12" t="s">
        <v>48</v>
      </c>
    </row>
    <row r="29" spans="1:15" ht="31.5" x14ac:dyDescent="0.25">
      <c r="B29" s="248"/>
      <c r="C29" s="247" t="s">
        <v>59</v>
      </c>
      <c r="D29" s="225"/>
      <c r="E29" s="247" t="s">
        <v>60</v>
      </c>
      <c r="F29" s="225"/>
      <c r="G29" s="79" t="s">
        <v>59</v>
      </c>
      <c r="H29" s="79" t="s">
        <v>60</v>
      </c>
      <c r="K29" s="13" t="s">
        <v>39</v>
      </c>
      <c r="L29" s="12" t="s">
        <v>40</v>
      </c>
    </row>
    <row r="30" spans="1:15" ht="30" x14ac:dyDescent="0.25">
      <c r="B30" s="249"/>
      <c r="C30" s="224" t="s">
        <v>109</v>
      </c>
      <c r="D30" s="225"/>
      <c r="E30" s="224" t="s">
        <v>109</v>
      </c>
      <c r="F30" s="225"/>
      <c r="G30" s="162" t="s">
        <v>109</v>
      </c>
      <c r="H30" s="162" t="s">
        <v>109</v>
      </c>
      <c r="K30" s="13" t="s">
        <v>41</v>
      </c>
      <c r="L30" s="12" t="s">
        <v>42</v>
      </c>
    </row>
    <row r="31" spans="1:15" ht="63" x14ac:dyDescent="0.25">
      <c r="B31" s="80" t="s">
        <v>61</v>
      </c>
      <c r="C31" s="222">
        <v>80</v>
      </c>
      <c r="D31" s="223"/>
      <c r="E31" s="222">
        <v>80</v>
      </c>
      <c r="F31" s="223"/>
      <c r="G31" s="81">
        <v>40</v>
      </c>
      <c r="H31" s="81">
        <v>40</v>
      </c>
      <c r="K31" s="13" t="s">
        <v>43</v>
      </c>
      <c r="L31" s="210" t="s">
        <v>44</v>
      </c>
    </row>
    <row r="32" spans="1:15" x14ac:dyDescent="0.25">
      <c r="B32" s="80" t="s">
        <v>62</v>
      </c>
      <c r="C32" s="222">
        <v>150</v>
      </c>
      <c r="D32" s="223"/>
      <c r="E32" s="222">
        <v>150</v>
      </c>
      <c r="F32" s="223"/>
      <c r="G32" s="81">
        <f>50+40</f>
        <v>90</v>
      </c>
      <c r="H32" s="81">
        <v>90</v>
      </c>
    </row>
    <row r="33" spans="2:8" x14ac:dyDescent="0.25">
      <c r="B33" s="80" t="s">
        <v>63</v>
      </c>
      <c r="C33" s="222">
        <v>15</v>
      </c>
      <c r="D33" s="223"/>
      <c r="E33" s="222">
        <v>15</v>
      </c>
      <c r="F33" s="223"/>
      <c r="G33" s="81">
        <f>3+3.75+2.8</f>
        <v>9.5500000000000007</v>
      </c>
      <c r="H33" s="81">
        <f>9.55</f>
        <v>9.5500000000000007</v>
      </c>
    </row>
    <row r="34" spans="2:8" x14ac:dyDescent="0.25">
      <c r="B34" s="82" t="s">
        <v>64</v>
      </c>
      <c r="C34" s="226">
        <v>45</v>
      </c>
      <c r="D34" s="227"/>
      <c r="E34" s="226">
        <v>45</v>
      </c>
      <c r="F34" s="227"/>
      <c r="G34" s="83">
        <f>21+31</f>
        <v>52</v>
      </c>
      <c r="H34" s="83">
        <v>52</v>
      </c>
    </row>
    <row r="35" spans="2:8" x14ac:dyDescent="0.25">
      <c r="B35" s="80" t="s">
        <v>65</v>
      </c>
      <c r="C35" s="222">
        <v>15</v>
      </c>
      <c r="D35" s="223"/>
      <c r="E35" s="222">
        <v>15</v>
      </c>
      <c r="F35" s="223"/>
      <c r="G35" s="81"/>
      <c r="H35" s="81"/>
    </row>
    <row r="36" spans="2:8" x14ac:dyDescent="0.25">
      <c r="B36" s="80" t="s">
        <v>66</v>
      </c>
      <c r="C36" s="222" t="s">
        <v>67</v>
      </c>
      <c r="D36" s="223"/>
      <c r="E36" s="220">
        <v>188</v>
      </c>
      <c r="F36" s="221"/>
      <c r="G36" s="81">
        <f>67+171</f>
        <v>238</v>
      </c>
      <c r="H36" s="81">
        <f>50+129</f>
        <v>179</v>
      </c>
    </row>
    <row r="37" spans="2:8" x14ac:dyDescent="0.25">
      <c r="B37" s="80" t="s">
        <v>68</v>
      </c>
      <c r="C37" s="222">
        <v>350</v>
      </c>
      <c r="D37" s="223"/>
      <c r="E37" s="222" t="s">
        <v>69</v>
      </c>
      <c r="F37" s="223"/>
      <c r="G37" s="81">
        <f>12+12.5+3.25+98.6+12.5</f>
        <v>138.85</v>
      </c>
      <c r="H37" s="102">
        <f>10+10+2.5+78.9+10</f>
        <v>111.4</v>
      </c>
    </row>
    <row r="38" spans="2:8" x14ac:dyDescent="0.25">
      <c r="B38" s="80" t="s">
        <v>70</v>
      </c>
      <c r="C38" s="222">
        <v>200</v>
      </c>
      <c r="D38" s="223"/>
      <c r="E38" s="222" t="s">
        <v>71</v>
      </c>
      <c r="F38" s="223"/>
      <c r="G38" s="81">
        <v>134</v>
      </c>
      <c r="H38" s="81">
        <v>130</v>
      </c>
    </row>
    <row r="39" spans="2:8" ht="25.5" x14ac:dyDescent="0.25">
      <c r="B39" s="80" t="s">
        <v>72</v>
      </c>
      <c r="C39" s="222">
        <v>15</v>
      </c>
      <c r="D39" s="223"/>
      <c r="E39" s="222">
        <v>15</v>
      </c>
      <c r="F39" s="223"/>
      <c r="G39" s="81"/>
      <c r="H39" s="81"/>
    </row>
    <row r="40" spans="2:8" ht="55.5" customHeight="1" x14ac:dyDescent="0.25">
      <c r="B40" s="80" t="s">
        <v>73</v>
      </c>
      <c r="C40" s="222">
        <v>200</v>
      </c>
      <c r="D40" s="223"/>
      <c r="E40" s="222">
        <v>200</v>
      </c>
      <c r="F40" s="223"/>
      <c r="G40" s="81"/>
      <c r="H40" s="81"/>
    </row>
    <row r="41" spans="2:8" ht="25.5" x14ac:dyDescent="0.25">
      <c r="B41" s="80" t="s">
        <v>74</v>
      </c>
      <c r="C41" s="222" t="s">
        <v>75</v>
      </c>
      <c r="D41" s="223"/>
      <c r="E41" s="222">
        <v>70</v>
      </c>
      <c r="F41" s="223"/>
      <c r="G41" s="81">
        <f>81+40</f>
        <v>121</v>
      </c>
      <c r="H41" s="81">
        <f>71+25</f>
        <v>96</v>
      </c>
    </row>
    <row r="42" spans="2:8" ht="38.25" x14ac:dyDescent="0.25">
      <c r="B42" s="80" t="s">
        <v>76</v>
      </c>
      <c r="C42" s="222" t="s">
        <v>77</v>
      </c>
      <c r="D42" s="223"/>
      <c r="E42" s="222">
        <v>35</v>
      </c>
      <c r="F42" s="223"/>
      <c r="G42" s="81"/>
      <c r="H42" s="81"/>
    </row>
    <row r="43" spans="2:8" x14ac:dyDescent="0.25">
      <c r="B43" s="80" t="s">
        <v>78</v>
      </c>
      <c r="C43" s="222">
        <v>60</v>
      </c>
      <c r="D43" s="223"/>
      <c r="E43" s="222">
        <v>58</v>
      </c>
      <c r="F43" s="223"/>
      <c r="G43" s="81"/>
      <c r="H43" s="81"/>
    </row>
    <row r="44" spans="2:8" x14ac:dyDescent="0.25">
      <c r="B44" s="80" t="s">
        <v>79</v>
      </c>
      <c r="C44" s="222">
        <v>15</v>
      </c>
      <c r="D44" s="223"/>
      <c r="E44" s="222">
        <v>14.7</v>
      </c>
      <c r="F44" s="223"/>
      <c r="G44" s="81"/>
      <c r="H44" s="81"/>
    </row>
    <row r="45" spans="2:8" ht="25.5" x14ac:dyDescent="0.25">
      <c r="B45" s="80" t="s">
        <v>80</v>
      </c>
      <c r="C45" s="222">
        <v>300</v>
      </c>
      <c r="D45" s="223"/>
      <c r="E45" s="222">
        <v>300</v>
      </c>
      <c r="F45" s="223"/>
      <c r="G45" s="81">
        <f>100+24+1.92</f>
        <v>125.92</v>
      </c>
      <c r="H45" s="81">
        <v>125.92</v>
      </c>
    </row>
    <row r="46" spans="2:8" ht="38.25" x14ac:dyDescent="0.25">
      <c r="B46" s="80" t="s">
        <v>81</v>
      </c>
      <c r="C46" s="222">
        <v>150</v>
      </c>
      <c r="D46" s="223"/>
      <c r="E46" s="222">
        <v>150</v>
      </c>
      <c r="F46" s="223"/>
      <c r="G46" s="81">
        <v>207</v>
      </c>
      <c r="H46" s="81">
        <v>200</v>
      </c>
    </row>
    <row r="47" spans="2:8" ht="25.5" x14ac:dyDescent="0.25">
      <c r="B47" s="80" t="s">
        <v>82</v>
      </c>
      <c r="C47" s="222">
        <v>50</v>
      </c>
      <c r="D47" s="223"/>
      <c r="E47" s="222">
        <v>50</v>
      </c>
      <c r="F47" s="223"/>
      <c r="G47" s="81"/>
      <c r="H47" s="81"/>
    </row>
    <row r="48" spans="2:8" x14ac:dyDescent="0.25">
      <c r="B48" s="80" t="s">
        <v>83</v>
      </c>
      <c r="C48" s="222">
        <v>10</v>
      </c>
      <c r="D48" s="223"/>
      <c r="E48" s="222">
        <v>9.8000000000000007</v>
      </c>
      <c r="F48" s="223"/>
      <c r="G48" s="81"/>
      <c r="H48" s="102"/>
    </row>
    <row r="49" spans="2:8" ht="25.5" x14ac:dyDescent="0.25">
      <c r="B49" s="80" t="s">
        <v>84</v>
      </c>
      <c r="C49" s="222">
        <v>10</v>
      </c>
      <c r="D49" s="223"/>
      <c r="E49" s="222">
        <v>10</v>
      </c>
      <c r="F49" s="223"/>
      <c r="G49" s="86">
        <v>12.5</v>
      </c>
      <c r="H49" s="86">
        <v>12.5</v>
      </c>
    </row>
    <row r="50" spans="2:8" x14ac:dyDescent="0.25">
      <c r="B50" s="80" t="s">
        <v>85</v>
      </c>
      <c r="C50" s="222">
        <v>30</v>
      </c>
      <c r="D50" s="223"/>
      <c r="E50" s="222">
        <v>30</v>
      </c>
      <c r="F50" s="223"/>
      <c r="G50" s="81">
        <f>5+10+5+10+5.25+3.87</f>
        <v>39.119999999999997</v>
      </c>
      <c r="H50" s="81">
        <f>39.12</f>
        <v>39.119999999999997</v>
      </c>
    </row>
    <row r="51" spans="2:8" x14ac:dyDescent="0.25">
      <c r="B51" s="80" t="s">
        <v>86</v>
      </c>
      <c r="C51" s="222">
        <v>15</v>
      </c>
      <c r="D51" s="223"/>
      <c r="E51" s="222">
        <v>15</v>
      </c>
      <c r="F51" s="223"/>
      <c r="G51" s="81">
        <v>5</v>
      </c>
      <c r="H51" s="81">
        <v>5</v>
      </c>
    </row>
    <row r="52" spans="2:8" x14ac:dyDescent="0.25">
      <c r="B52" s="80" t="s">
        <v>87</v>
      </c>
      <c r="C52" s="222" t="s">
        <v>88</v>
      </c>
      <c r="D52" s="223"/>
      <c r="E52" s="222">
        <v>40</v>
      </c>
      <c r="F52" s="223"/>
      <c r="G52" s="81">
        <v>40</v>
      </c>
      <c r="H52" s="81">
        <v>40</v>
      </c>
    </row>
    <row r="53" spans="2:8" x14ac:dyDescent="0.25">
      <c r="B53" s="80" t="s">
        <v>89</v>
      </c>
      <c r="C53" s="222">
        <v>40</v>
      </c>
      <c r="D53" s="223"/>
      <c r="E53" s="220">
        <v>40</v>
      </c>
      <c r="F53" s="221"/>
      <c r="G53" s="81">
        <f>20+6+5+5.6</f>
        <v>36.6</v>
      </c>
      <c r="H53" s="81">
        <v>36.6</v>
      </c>
    </row>
    <row r="54" spans="2:8" x14ac:dyDescent="0.25">
      <c r="B54" s="80" t="s">
        <v>90</v>
      </c>
      <c r="C54" s="220">
        <v>10</v>
      </c>
      <c r="D54" s="221"/>
      <c r="E54" s="222">
        <v>10</v>
      </c>
      <c r="F54" s="223"/>
      <c r="G54" s="81">
        <v>20</v>
      </c>
      <c r="H54" s="81">
        <v>20</v>
      </c>
    </row>
    <row r="55" spans="2:8" x14ac:dyDescent="0.25">
      <c r="B55" s="80" t="s">
        <v>91</v>
      </c>
      <c r="C55" s="222">
        <v>0.4</v>
      </c>
      <c r="D55" s="223"/>
      <c r="E55" s="222">
        <v>0.4</v>
      </c>
      <c r="F55" s="223"/>
      <c r="G55" s="81">
        <v>2</v>
      </c>
      <c r="H55" s="81">
        <v>2</v>
      </c>
    </row>
    <row r="56" spans="2:8" x14ac:dyDescent="0.25">
      <c r="B56" s="80" t="s">
        <v>92</v>
      </c>
      <c r="C56" s="222">
        <v>1.2</v>
      </c>
      <c r="D56" s="223"/>
      <c r="E56" s="222">
        <v>1.2</v>
      </c>
      <c r="F56" s="223"/>
      <c r="G56" s="81"/>
      <c r="H56" s="81"/>
    </row>
    <row r="57" spans="2:8" x14ac:dyDescent="0.25">
      <c r="B57" s="80" t="s">
        <v>93</v>
      </c>
      <c r="C57" s="222">
        <v>1</v>
      </c>
      <c r="D57" s="223"/>
      <c r="E57" s="222">
        <v>1</v>
      </c>
      <c r="F57" s="223"/>
      <c r="G57" s="81"/>
      <c r="H57" s="81"/>
    </row>
    <row r="58" spans="2:8" x14ac:dyDescent="0.25">
      <c r="B58" s="80" t="s">
        <v>94</v>
      </c>
      <c r="C58" s="222">
        <v>5</v>
      </c>
      <c r="D58" s="223"/>
      <c r="E58" s="222">
        <v>5</v>
      </c>
      <c r="F58" s="223"/>
      <c r="G58" s="81">
        <v>3</v>
      </c>
      <c r="H58" s="81">
        <v>3</v>
      </c>
    </row>
    <row r="59" spans="2:8" x14ac:dyDescent="0.25">
      <c r="B59" s="18"/>
      <c r="C59" s="18"/>
      <c r="D59" s="18"/>
      <c r="E59" s="18"/>
      <c r="F59" s="18"/>
      <c r="G59" s="18"/>
      <c r="H59" s="18"/>
    </row>
    <row r="60" spans="2:8" x14ac:dyDescent="0.25">
      <c r="B60" s="18"/>
      <c r="C60" s="18"/>
      <c r="D60" s="18"/>
      <c r="E60" s="18"/>
      <c r="F60" s="18"/>
      <c r="G60" s="18"/>
      <c r="H60" s="18"/>
    </row>
    <row r="61" spans="2:8" x14ac:dyDescent="0.25">
      <c r="B61" s="18"/>
      <c r="C61" s="18"/>
      <c r="D61" s="18"/>
      <c r="E61" s="18"/>
      <c r="F61" s="18"/>
      <c r="G61" s="18"/>
      <c r="H61" s="18"/>
    </row>
    <row r="62" spans="2:8" x14ac:dyDescent="0.25">
      <c r="B62" s="18"/>
      <c r="C62" s="18"/>
      <c r="D62" s="18"/>
      <c r="E62" s="18"/>
      <c r="F62" s="18"/>
      <c r="G62" s="18"/>
      <c r="H62" s="18"/>
    </row>
    <row r="63" spans="2:8" x14ac:dyDescent="0.25">
      <c r="B63" s="18"/>
      <c r="C63" s="18"/>
      <c r="D63" s="18"/>
      <c r="E63" s="18"/>
      <c r="F63" s="18"/>
      <c r="G63" s="18"/>
      <c r="H63" s="18"/>
    </row>
    <row r="64" spans="2:8" x14ac:dyDescent="0.25">
      <c r="B64" s="18"/>
      <c r="C64" s="18"/>
      <c r="D64" s="18"/>
      <c r="E64" s="18"/>
      <c r="F64" s="18"/>
      <c r="G64" s="18"/>
      <c r="H64" s="18"/>
    </row>
    <row r="65" spans="2:8" x14ac:dyDescent="0.25">
      <c r="B65" s="18"/>
      <c r="C65" s="18"/>
      <c r="D65" s="18"/>
      <c r="E65" s="18"/>
      <c r="F65" s="18"/>
      <c r="G65" s="18"/>
      <c r="H65" s="18"/>
    </row>
    <row r="66" spans="2:8" x14ac:dyDescent="0.25">
      <c r="B66" s="18"/>
      <c r="C66" s="18"/>
      <c r="D66" s="18"/>
      <c r="E66" s="18"/>
      <c r="F66" s="18"/>
      <c r="G66" s="18"/>
      <c r="H66" s="18"/>
    </row>
    <row r="67" spans="2:8" x14ac:dyDescent="0.25">
      <c r="B67" s="18"/>
      <c r="C67" s="18"/>
      <c r="D67" s="18"/>
      <c r="E67" s="18"/>
      <c r="F67" s="18"/>
      <c r="G67" s="18"/>
      <c r="H67" s="18"/>
    </row>
    <row r="68" spans="2:8" x14ac:dyDescent="0.25">
      <c r="B68" s="18"/>
      <c r="C68" s="18"/>
      <c r="D68" s="18"/>
      <c r="E68" s="18"/>
      <c r="F68" s="18"/>
      <c r="G68" s="18"/>
      <c r="H68" s="18"/>
    </row>
    <row r="69" spans="2:8" x14ac:dyDescent="0.25">
      <c r="B69" s="18"/>
      <c r="C69" s="18"/>
      <c r="D69" s="18"/>
      <c r="E69" s="18"/>
      <c r="F69" s="18"/>
      <c r="G69" s="18"/>
      <c r="H69" s="18"/>
    </row>
    <row r="70" spans="2:8" x14ac:dyDescent="0.25">
      <c r="B70" s="18"/>
      <c r="C70" s="18"/>
      <c r="D70" s="18"/>
      <c r="E70" s="18"/>
      <c r="F70" s="18"/>
      <c r="G70" s="18"/>
      <c r="H70" s="18"/>
    </row>
    <row r="71" spans="2:8" x14ac:dyDescent="0.25">
      <c r="B71" s="18"/>
      <c r="C71" s="18"/>
      <c r="D71" s="18"/>
      <c r="E71" s="18"/>
      <c r="F71" s="18"/>
      <c r="G71" s="18"/>
      <c r="H71" s="18"/>
    </row>
    <row r="72" spans="2:8" x14ac:dyDescent="0.25">
      <c r="B72" s="18"/>
      <c r="C72" s="18"/>
      <c r="D72" s="18"/>
      <c r="E72" s="18"/>
      <c r="F72" s="18"/>
      <c r="G72" s="18"/>
      <c r="H72" s="18"/>
    </row>
    <row r="73" spans="2:8" x14ac:dyDescent="0.25">
      <c r="B73" s="18"/>
      <c r="C73" s="18"/>
      <c r="D73" s="18"/>
      <c r="E73" s="18"/>
      <c r="F73" s="18"/>
      <c r="G73" s="18"/>
      <c r="H73" s="18"/>
    </row>
    <row r="74" spans="2:8" x14ac:dyDescent="0.25">
      <c r="B74" s="18"/>
      <c r="C74" s="18"/>
      <c r="D74" s="18"/>
      <c r="E74" s="18"/>
      <c r="F74" s="18"/>
      <c r="G74" s="18"/>
      <c r="H74" s="18"/>
    </row>
    <row r="75" spans="2:8" x14ac:dyDescent="0.25">
      <c r="B75" s="18"/>
      <c r="C75" s="18"/>
      <c r="D75" s="18"/>
      <c r="E75" s="18"/>
      <c r="F75" s="18"/>
      <c r="G75" s="18"/>
      <c r="H75" s="18"/>
    </row>
    <row r="76" spans="2:8" x14ac:dyDescent="0.25">
      <c r="B76" s="18"/>
      <c r="C76" s="18"/>
      <c r="D76" s="18"/>
      <c r="E76" s="18"/>
      <c r="F76" s="18"/>
      <c r="G76" s="18"/>
      <c r="H76" s="18"/>
    </row>
    <row r="77" spans="2:8" x14ac:dyDescent="0.25">
      <c r="B77" s="18"/>
      <c r="C77" s="18"/>
      <c r="D77" s="18"/>
      <c r="E77" s="18"/>
      <c r="F77" s="18"/>
      <c r="G77" s="18"/>
      <c r="H77" s="18"/>
    </row>
    <row r="78" spans="2:8" x14ac:dyDescent="0.25">
      <c r="B78" s="18"/>
      <c r="C78" s="18"/>
      <c r="D78" s="18"/>
      <c r="E78" s="18"/>
      <c r="F78" s="18"/>
      <c r="G78" s="18"/>
      <c r="H78" s="18"/>
    </row>
  </sheetData>
  <sheetProtection formatCells="0" formatColumns="0" formatRows="0" insertColumns="0" insertRows="0" insertHyperlinks="0" deleteColumns="0" deleteRows="0" sort="0" autoFilter="0" pivotTables="0"/>
  <mergeCells count="74">
    <mergeCell ref="H5:K5"/>
    <mergeCell ref="L5:O5"/>
    <mergeCell ref="A5:A6"/>
    <mergeCell ref="B5:B6"/>
    <mergeCell ref="C5:C6"/>
    <mergeCell ref="D5:F5"/>
    <mergeCell ref="G5:G6"/>
    <mergeCell ref="C23:F24"/>
    <mergeCell ref="G23:I23"/>
    <mergeCell ref="C25:F25"/>
    <mergeCell ref="B27:H27"/>
    <mergeCell ref="C28:F28"/>
    <mergeCell ref="B29:B30"/>
    <mergeCell ref="C29:D29"/>
    <mergeCell ref="E29:F29"/>
    <mergeCell ref="G28:H28"/>
    <mergeCell ref="C30:D30"/>
    <mergeCell ref="E30:F30"/>
    <mergeCell ref="C31:D31"/>
    <mergeCell ref="C32:D32"/>
    <mergeCell ref="C33:D33"/>
    <mergeCell ref="C34:D34"/>
    <mergeCell ref="E34:F34"/>
    <mergeCell ref="E33:F33"/>
    <mergeCell ref="E31:F31"/>
    <mergeCell ref="E32:F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48:D48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</mergeCells>
  <pageMargins left="0.70866141732283472" right="0.70866141732283472" top="0.74803149606299213" bottom="0.74803149606299213" header="0.31496062992125984" footer="0.31496062992125984"/>
  <pageSetup paperSize="9" scale="67" fitToWidth="2" fitToHeight="2" orientation="landscape" r:id="rId1"/>
  <rowBreaks count="1" manualBreakCount="1">
    <brk id="2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AA66"/>
  <sheetViews>
    <sheetView view="pageBreakPreview" zoomScale="80" zoomScaleNormal="90" zoomScaleSheetLayoutView="80" workbookViewId="0">
      <selection activeCell="K23" sqref="K23"/>
    </sheetView>
  </sheetViews>
  <sheetFormatPr defaultRowHeight="15" x14ac:dyDescent="0.25"/>
  <cols>
    <col min="1" max="1" width="13.140625" customWidth="1"/>
    <col min="2" max="2" width="31.140625" style="12" customWidth="1"/>
    <col min="7" max="7" width="13.140625" customWidth="1"/>
    <col min="8" max="8" width="10.85546875" customWidth="1"/>
    <col min="9" max="9" width="11.140625" customWidth="1"/>
    <col min="10" max="10" width="10.7109375" bestFit="1" customWidth="1"/>
    <col min="11" max="11" width="10.7109375" customWidth="1"/>
    <col min="12" max="12" width="9.28515625" bestFit="1" customWidth="1"/>
    <col min="13" max="13" width="9.5703125" customWidth="1"/>
    <col min="17" max="27" width="9.140625" style="18"/>
  </cols>
  <sheetData>
    <row r="1" spans="1:27" ht="15.75" x14ac:dyDescent="0.25">
      <c r="A1" s="13" t="s">
        <v>37</v>
      </c>
      <c r="B1" s="12" t="s">
        <v>38</v>
      </c>
    </row>
    <row r="2" spans="1:27" ht="15.75" x14ac:dyDescent="0.25">
      <c r="A2" s="13" t="s">
        <v>39</v>
      </c>
      <c r="B2" s="12" t="s">
        <v>56</v>
      </c>
    </row>
    <row r="3" spans="1:27" ht="15.75" x14ac:dyDescent="0.25">
      <c r="A3" s="13" t="s">
        <v>41</v>
      </c>
      <c r="B3" s="12" t="s">
        <v>42</v>
      </c>
    </row>
    <row r="4" spans="1:27" ht="31.5" x14ac:dyDescent="0.25">
      <c r="A4" s="13" t="s">
        <v>43</v>
      </c>
      <c r="B4" s="12" t="s">
        <v>44</v>
      </c>
    </row>
    <row r="5" spans="1:27" ht="15.75" x14ac:dyDescent="0.25">
      <c r="A5" s="324" t="s">
        <v>27</v>
      </c>
      <c r="B5" s="324" t="s">
        <v>18</v>
      </c>
      <c r="C5" s="324" t="s">
        <v>21</v>
      </c>
      <c r="D5" s="321" t="s">
        <v>30</v>
      </c>
      <c r="E5" s="322"/>
      <c r="F5" s="323"/>
      <c r="G5" s="324" t="s">
        <v>0</v>
      </c>
      <c r="H5" s="321" t="s">
        <v>29</v>
      </c>
      <c r="I5" s="322"/>
      <c r="J5" s="322"/>
      <c r="K5" s="323"/>
      <c r="L5" s="321" t="s">
        <v>28</v>
      </c>
      <c r="M5" s="322"/>
      <c r="N5" s="322"/>
      <c r="O5" s="323"/>
      <c r="Q5"/>
      <c r="R5"/>
      <c r="S5"/>
      <c r="T5"/>
      <c r="U5"/>
      <c r="V5"/>
      <c r="W5"/>
      <c r="X5"/>
      <c r="Y5"/>
      <c r="Z5"/>
      <c r="AA5"/>
    </row>
    <row r="6" spans="1:27" ht="15.75" x14ac:dyDescent="0.25">
      <c r="A6" s="325"/>
      <c r="B6" s="326"/>
      <c r="C6" s="327"/>
      <c r="D6" s="7" t="s">
        <v>1</v>
      </c>
      <c r="E6" s="7" t="s">
        <v>2</v>
      </c>
      <c r="F6" s="7" t="s">
        <v>3</v>
      </c>
      <c r="G6" s="325"/>
      <c r="H6" s="7" t="s">
        <v>17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10</v>
      </c>
      <c r="Q6"/>
      <c r="R6"/>
      <c r="S6"/>
      <c r="T6"/>
      <c r="U6"/>
      <c r="V6"/>
      <c r="W6"/>
      <c r="X6"/>
      <c r="Y6"/>
      <c r="Z6"/>
      <c r="AA6"/>
    </row>
    <row r="7" spans="1:27" s="30" customFormat="1" ht="23.25" customHeight="1" x14ac:dyDescent="0.2">
      <c r="A7" s="288" t="s">
        <v>20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90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 s="14" customFormat="1" ht="25.5" x14ac:dyDescent="0.25">
      <c r="A8" s="66">
        <v>45</v>
      </c>
      <c r="B8" s="9" t="s">
        <v>105</v>
      </c>
      <c r="C8" s="91">
        <v>100</v>
      </c>
      <c r="D8" s="67">
        <v>1.31</v>
      </c>
      <c r="E8" s="67">
        <v>3.25</v>
      </c>
      <c r="F8" s="67">
        <v>6.5</v>
      </c>
      <c r="G8" s="67">
        <v>60.4</v>
      </c>
      <c r="H8" s="67">
        <v>0.02</v>
      </c>
      <c r="I8" s="67">
        <v>17.010000000000002</v>
      </c>
      <c r="J8" s="67"/>
      <c r="K8" s="67">
        <v>8.39</v>
      </c>
      <c r="L8" s="67">
        <v>24.97</v>
      </c>
      <c r="M8" s="67">
        <v>28.3</v>
      </c>
      <c r="N8" s="67">
        <v>15.09</v>
      </c>
      <c r="O8" s="94">
        <v>0.47</v>
      </c>
    </row>
    <row r="9" spans="1:27" s="30" customFormat="1" ht="25.5" customHeight="1" x14ac:dyDescent="0.2">
      <c r="A9" s="15">
        <v>102</v>
      </c>
      <c r="B9" s="9" t="s">
        <v>103</v>
      </c>
      <c r="C9" s="142">
        <v>250</v>
      </c>
      <c r="D9" s="16">
        <v>5.6</v>
      </c>
      <c r="E9" s="16">
        <v>10.84</v>
      </c>
      <c r="F9" s="16">
        <v>19.23</v>
      </c>
      <c r="G9" s="16">
        <v>144.43</v>
      </c>
      <c r="H9" s="16">
        <v>0.15</v>
      </c>
      <c r="I9" s="16">
        <v>5.83</v>
      </c>
      <c r="J9" s="16">
        <v>0</v>
      </c>
      <c r="K9" s="16">
        <v>2.4500000000000002</v>
      </c>
      <c r="L9" s="16">
        <v>43.23</v>
      </c>
      <c r="M9" s="16">
        <v>137.78</v>
      </c>
      <c r="N9" s="16">
        <v>38.25</v>
      </c>
      <c r="O9" s="16">
        <v>1.83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s="14" customFormat="1" x14ac:dyDescent="0.25">
      <c r="A10" s="66">
        <v>312</v>
      </c>
      <c r="B10" s="9" t="s">
        <v>13</v>
      </c>
      <c r="C10" s="146">
        <v>150</v>
      </c>
      <c r="D10" s="67">
        <v>3.07</v>
      </c>
      <c r="E10" s="67">
        <v>0.02</v>
      </c>
      <c r="F10" s="67">
        <v>20.440000000000001</v>
      </c>
      <c r="G10" s="67">
        <v>137.25</v>
      </c>
      <c r="H10" s="67">
        <v>0.14000000000000001</v>
      </c>
      <c r="I10" s="67">
        <v>18.16</v>
      </c>
      <c r="J10" s="67"/>
      <c r="K10" s="67">
        <v>0.18</v>
      </c>
      <c r="L10" s="67">
        <v>36.979999999999997</v>
      </c>
      <c r="M10" s="67">
        <v>86.6</v>
      </c>
      <c r="N10" s="67">
        <v>27.75</v>
      </c>
      <c r="O10" s="67">
        <v>1.01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1:27" s="14" customFormat="1" x14ac:dyDescent="0.25">
      <c r="A11" s="15">
        <v>261</v>
      </c>
      <c r="B11" s="9" t="s">
        <v>119</v>
      </c>
      <c r="C11" s="15">
        <v>100</v>
      </c>
      <c r="D11" s="16">
        <v>13.26</v>
      </c>
      <c r="E11" s="16">
        <v>8.82</v>
      </c>
      <c r="F11" s="16">
        <v>2.62</v>
      </c>
      <c r="G11" s="16">
        <v>160</v>
      </c>
      <c r="H11" s="16">
        <v>0.19</v>
      </c>
      <c r="I11" s="16">
        <v>24.77</v>
      </c>
      <c r="J11" s="16">
        <v>2337</v>
      </c>
      <c r="K11" s="16">
        <v>2.59</v>
      </c>
      <c r="L11" s="16">
        <v>25.62</v>
      </c>
      <c r="M11" s="16">
        <v>245.55</v>
      </c>
      <c r="N11" s="16">
        <v>16.829999999999998</v>
      </c>
      <c r="O11" s="16">
        <v>13.51</v>
      </c>
    </row>
    <row r="12" spans="1:27" s="14" customFormat="1" x14ac:dyDescent="0.25">
      <c r="A12" s="134">
        <v>375</v>
      </c>
      <c r="B12" s="9" t="s">
        <v>100</v>
      </c>
      <c r="C12" s="134">
        <v>200</v>
      </c>
      <c r="D12" s="16">
        <v>0.4</v>
      </c>
      <c r="E12" s="16">
        <v>0.1</v>
      </c>
      <c r="F12" s="16">
        <v>0.08</v>
      </c>
      <c r="G12" s="16">
        <v>6.4</v>
      </c>
      <c r="H12" s="135" t="s">
        <v>101</v>
      </c>
      <c r="I12" s="16">
        <v>0.2</v>
      </c>
      <c r="J12" s="16"/>
      <c r="K12" s="16"/>
      <c r="L12" s="16">
        <v>19.62</v>
      </c>
      <c r="M12" s="16">
        <v>16.48</v>
      </c>
      <c r="N12" s="16">
        <v>8.8000000000000007</v>
      </c>
      <c r="O12" s="16">
        <v>1.64</v>
      </c>
    </row>
    <row r="13" spans="1:27" s="14" customFormat="1" x14ac:dyDescent="0.25">
      <c r="A13" s="50"/>
      <c r="B13" s="9" t="s">
        <v>14</v>
      </c>
      <c r="C13" s="134">
        <v>40</v>
      </c>
      <c r="D13" s="16">
        <v>2.2400000000000002</v>
      </c>
      <c r="E13" s="16">
        <v>0.88</v>
      </c>
      <c r="F13" s="16">
        <v>19.760000000000002</v>
      </c>
      <c r="G13" s="16">
        <v>91.96</v>
      </c>
      <c r="H13" s="16">
        <v>0.04</v>
      </c>
      <c r="I13" s="16"/>
      <c r="J13" s="16"/>
      <c r="K13" s="16">
        <v>0.36</v>
      </c>
      <c r="L13" s="16">
        <v>9.1999999999999993</v>
      </c>
      <c r="M13" s="16">
        <v>42.4</v>
      </c>
      <c r="N13" s="16">
        <v>10</v>
      </c>
      <c r="O13" s="16">
        <v>1.24</v>
      </c>
    </row>
    <row r="14" spans="1:27" s="14" customFormat="1" x14ac:dyDescent="0.25">
      <c r="A14" s="50"/>
      <c r="B14" s="9"/>
      <c r="C14" s="10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7" s="11" customFormat="1" ht="16.149999999999999" customHeight="1" x14ac:dyDescent="0.2">
      <c r="A15" s="107" t="s">
        <v>11</v>
      </c>
      <c r="B15" s="108"/>
      <c r="C15" s="108"/>
      <c r="D15" s="110">
        <f>D14+D13+D12+D11+D10+D9+D8</f>
        <v>25.88</v>
      </c>
      <c r="E15" s="110">
        <f t="shared" ref="E15:O15" si="0">E14+E13+E12+E11+E10+E9+E8</f>
        <v>23.91</v>
      </c>
      <c r="F15" s="110">
        <f t="shared" si="0"/>
        <v>68.63000000000001</v>
      </c>
      <c r="G15" s="110">
        <f t="shared" si="0"/>
        <v>600.43999999999994</v>
      </c>
      <c r="H15" s="110">
        <f t="shared" si="0"/>
        <v>0.54</v>
      </c>
      <c r="I15" s="110">
        <f t="shared" si="0"/>
        <v>65.97</v>
      </c>
      <c r="J15" s="110">
        <f t="shared" si="0"/>
        <v>2337</v>
      </c>
      <c r="K15" s="110">
        <f t="shared" si="0"/>
        <v>13.97</v>
      </c>
      <c r="L15" s="110">
        <f t="shared" si="0"/>
        <v>159.61999999999998</v>
      </c>
      <c r="M15" s="110">
        <f t="shared" si="0"/>
        <v>557.1099999999999</v>
      </c>
      <c r="N15" s="110">
        <f t="shared" si="0"/>
        <v>116.72</v>
      </c>
      <c r="O15" s="110">
        <f t="shared" si="0"/>
        <v>19.700000000000003</v>
      </c>
      <c r="Q15" s="19"/>
      <c r="R15" s="19"/>
      <c r="S15" s="21"/>
      <c r="T15" s="22"/>
      <c r="U15" s="22"/>
      <c r="V15" s="22"/>
      <c r="W15" s="22"/>
      <c r="X15" s="22"/>
      <c r="Y15" s="22"/>
      <c r="Z15" s="22"/>
      <c r="AA15" s="22"/>
    </row>
    <row r="16" spans="1:27" s="11" customFormat="1" ht="23.25" customHeight="1" x14ac:dyDescent="0.2">
      <c r="A16" s="328" t="s">
        <v>19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2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1" customFormat="1" ht="25.5" customHeight="1" x14ac:dyDescent="0.2">
      <c r="A17" s="8"/>
      <c r="B17" s="9"/>
      <c r="C17" s="8"/>
      <c r="D17" s="10"/>
      <c r="E17" s="10"/>
      <c r="F17" s="10"/>
      <c r="G17" s="10"/>
      <c r="H17" s="10"/>
      <c r="I17" s="10"/>
      <c r="J17" s="98"/>
      <c r="K17" s="10"/>
      <c r="L17" s="10"/>
      <c r="M17" s="10"/>
      <c r="N17" s="10"/>
      <c r="O17" s="10"/>
    </row>
    <row r="18" spans="1:27" s="14" customFormat="1" x14ac:dyDescent="0.25">
      <c r="A18" s="160"/>
      <c r="B18" s="9"/>
      <c r="C18" s="142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27" s="14" customFormat="1" x14ac:dyDescent="0.25">
      <c r="A19" s="15"/>
      <c r="B19" s="9"/>
      <c r="C19" s="15"/>
      <c r="D19" s="16"/>
      <c r="E19" s="16"/>
      <c r="F19" s="16"/>
      <c r="G19" s="16"/>
      <c r="H19" s="96"/>
      <c r="I19" s="16"/>
      <c r="J19" s="16"/>
      <c r="K19" s="16"/>
      <c r="L19" s="16"/>
      <c r="M19" s="16"/>
      <c r="N19" s="16"/>
      <c r="O19" s="16"/>
    </row>
    <row r="20" spans="1:27" s="30" customFormat="1" ht="16.149999999999999" customHeight="1" x14ac:dyDescent="0.2">
      <c r="A20" s="107" t="s">
        <v>11</v>
      </c>
      <c r="B20" s="108"/>
      <c r="C20" s="108"/>
      <c r="D20" s="110">
        <f>D19+D18+D17</f>
        <v>0</v>
      </c>
      <c r="E20" s="110">
        <f t="shared" ref="E20:O20" si="1">E19+E18+E17</f>
        <v>0</v>
      </c>
      <c r="F20" s="110">
        <f t="shared" si="1"/>
        <v>0</v>
      </c>
      <c r="G20" s="110">
        <f t="shared" si="1"/>
        <v>0</v>
      </c>
      <c r="H20" s="110">
        <f t="shared" si="1"/>
        <v>0</v>
      </c>
      <c r="I20" s="110">
        <f t="shared" si="1"/>
        <v>0</v>
      </c>
      <c r="J20" s="110">
        <f t="shared" si="1"/>
        <v>0</v>
      </c>
      <c r="K20" s="110">
        <f t="shared" si="1"/>
        <v>0</v>
      </c>
      <c r="L20" s="110">
        <f t="shared" si="1"/>
        <v>0</v>
      </c>
      <c r="M20" s="110">
        <f t="shared" si="1"/>
        <v>0</v>
      </c>
      <c r="N20" s="110">
        <f t="shared" si="1"/>
        <v>0</v>
      </c>
      <c r="O20" s="110">
        <f t="shared" si="1"/>
        <v>0</v>
      </c>
      <c r="Q20" s="57"/>
      <c r="R20" s="57"/>
      <c r="S20" s="60"/>
      <c r="T20" s="101"/>
      <c r="U20" s="101"/>
      <c r="V20" s="101"/>
      <c r="W20" s="101"/>
      <c r="X20" s="101"/>
      <c r="Y20" s="101"/>
      <c r="Z20" s="101"/>
      <c r="AA20" s="101"/>
    </row>
    <row r="21" spans="1:27" s="11" customFormat="1" ht="15.75" customHeight="1" x14ac:dyDescent="0.2">
      <c r="A21" s="112" t="s">
        <v>15</v>
      </c>
      <c r="B21" s="113"/>
      <c r="C21" s="113"/>
      <c r="D21" s="109">
        <f>D15+D20</f>
        <v>25.88</v>
      </c>
      <c r="E21" s="109">
        <f t="shared" ref="E21:O21" si="2">E15+E20</f>
        <v>23.91</v>
      </c>
      <c r="F21" s="109">
        <f t="shared" si="2"/>
        <v>68.63000000000001</v>
      </c>
      <c r="G21" s="109">
        <f t="shared" si="2"/>
        <v>600.43999999999994</v>
      </c>
      <c r="H21" s="109">
        <f t="shared" si="2"/>
        <v>0.54</v>
      </c>
      <c r="I21" s="109">
        <f t="shared" si="2"/>
        <v>65.97</v>
      </c>
      <c r="J21" s="109">
        <f t="shared" si="2"/>
        <v>2337</v>
      </c>
      <c r="K21" s="109">
        <f t="shared" si="2"/>
        <v>13.97</v>
      </c>
      <c r="L21" s="109">
        <f t="shared" si="2"/>
        <v>159.61999999999998</v>
      </c>
      <c r="M21" s="109">
        <f t="shared" si="2"/>
        <v>557.1099999999999</v>
      </c>
      <c r="N21" s="109">
        <f t="shared" si="2"/>
        <v>116.72</v>
      </c>
      <c r="O21" s="109">
        <f t="shared" si="2"/>
        <v>19.700000000000003</v>
      </c>
      <c r="Q21" s="19"/>
      <c r="R21" s="19"/>
      <c r="S21" s="23"/>
      <c r="T21" s="24"/>
      <c r="U21" s="24"/>
      <c r="V21" s="24"/>
      <c r="W21" s="24"/>
      <c r="X21" s="24"/>
      <c r="Y21" s="24"/>
      <c r="Z21" s="24"/>
      <c r="AA21" s="24"/>
    </row>
    <row r="22" spans="1:27" ht="15.75" thickBot="1" x14ac:dyDescent="0.3"/>
    <row r="23" spans="1:27" s="19" customFormat="1" ht="26.25" customHeight="1" thickBot="1" x14ac:dyDescent="0.25">
      <c r="A23" s="36"/>
      <c r="B23" s="253" t="s">
        <v>51</v>
      </c>
      <c r="C23" s="254"/>
      <c r="D23" s="254"/>
      <c r="E23" s="254"/>
      <c r="F23" s="244" t="s">
        <v>52</v>
      </c>
      <c r="G23" s="245"/>
      <c r="H23" s="246"/>
      <c r="I23" s="38" t="s">
        <v>53</v>
      </c>
      <c r="J23" s="37"/>
      <c r="K23" s="37"/>
      <c r="L23" s="37"/>
      <c r="M23" s="37"/>
      <c r="N23" s="37"/>
      <c r="O23" s="3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19" customFormat="1" ht="13.5" thickBot="1" x14ac:dyDescent="0.25">
      <c r="A24" s="36"/>
      <c r="B24" s="259"/>
      <c r="C24" s="260"/>
      <c r="D24" s="260"/>
      <c r="E24" s="260"/>
      <c r="F24" s="39" t="s">
        <v>1</v>
      </c>
      <c r="G24" s="39" t="s">
        <v>2</v>
      </c>
      <c r="H24" s="39" t="s">
        <v>3</v>
      </c>
      <c r="I24" s="40"/>
      <c r="J24" s="37"/>
      <c r="K24" s="37"/>
      <c r="L24" s="37"/>
      <c r="M24" s="37"/>
      <c r="N24" s="37"/>
      <c r="O24" s="37"/>
      <c r="Q24" s="20"/>
      <c r="R24" s="20"/>
      <c r="S24" s="20"/>
      <c r="T24" s="17"/>
      <c r="U24" s="17"/>
      <c r="V24" s="17"/>
      <c r="W24" s="17"/>
      <c r="X24" s="17"/>
      <c r="Y24" s="17"/>
      <c r="Z24" s="17"/>
      <c r="AA24" s="17"/>
    </row>
    <row r="25" spans="1:27" ht="15.75" thickBot="1" x14ac:dyDescent="0.3">
      <c r="B25" s="228" t="s">
        <v>54</v>
      </c>
      <c r="C25" s="229"/>
      <c r="D25" s="229"/>
      <c r="E25" s="229"/>
      <c r="F25" s="41">
        <f>D21</f>
        <v>25.88</v>
      </c>
      <c r="G25" s="41">
        <f>E21</f>
        <v>23.91</v>
      </c>
      <c r="H25" s="41">
        <f>F21</f>
        <v>68.63000000000001</v>
      </c>
      <c r="I25" s="41">
        <f>G21</f>
        <v>600.43999999999994</v>
      </c>
    </row>
    <row r="27" spans="1:27" ht="43.5" customHeight="1" x14ac:dyDescent="0.25">
      <c r="B27" s="250" t="s">
        <v>95</v>
      </c>
      <c r="C27" s="250"/>
      <c r="D27" s="250"/>
      <c r="E27" s="250"/>
      <c r="F27" s="250"/>
      <c r="G27" s="250"/>
      <c r="H27" s="250"/>
    </row>
    <row r="28" spans="1:27" ht="21.75" customHeight="1" x14ac:dyDescent="0.25">
      <c r="B28" s="79" t="s">
        <v>57</v>
      </c>
      <c r="C28" s="264" t="s">
        <v>58</v>
      </c>
      <c r="D28" s="264"/>
      <c r="E28" s="264"/>
      <c r="F28" s="264"/>
      <c r="G28" s="251" t="s">
        <v>96</v>
      </c>
      <c r="H28" s="252"/>
      <c r="J28" s="13" t="s">
        <v>37</v>
      </c>
      <c r="K28" s="114" t="s">
        <v>38</v>
      </c>
    </row>
    <row r="29" spans="1:27" ht="25.5" x14ac:dyDescent="0.25">
      <c r="B29" s="248"/>
      <c r="C29" s="247" t="s">
        <v>59</v>
      </c>
      <c r="D29" s="225"/>
      <c r="E29" s="247" t="s">
        <v>60</v>
      </c>
      <c r="F29" s="225"/>
      <c r="G29" s="79" t="s">
        <v>59</v>
      </c>
      <c r="H29" s="79" t="s">
        <v>60</v>
      </c>
      <c r="J29" s="13" t="s">
        <v>39</v>
      </c>
      <c r="K29" s="12" t="s">
        <v>56</v>
      </c>
    </row>
    <row r="30" spans="1:27" ht="30" x14ac:dyDescent="0.25">
      <c r="B30" s="249"/>
      <c r="C30" s="224" t="s">
        <v>109</v>
      </c>
      <c r="D30" s="225"/>
      <c r="E30" s="224" t="s">
        <v>109</v>
      </c>
      <c r="F30" s="225"/>
      <c r="G30" s="162" t="s">
        <v>109</v>
      </c>
      <c r="H30" s="162" t="s">
        <v>109</v>
      </c>
      <c r="J30" s="13" t="s">
        <v>41</v>
      </c>
      <c r="K30" s="12" t="s">
        <v>42</v>
      </c>
    </row>
    <row r="31" spans="1:27" ht="63" x14ac:dyDescent="0.25">
      <c r="B31" s="80" t="s">
        <v>61</v>
      </c>
      <c r="C31" s="222">
        <v>80</v>
      </c>
      <c r="D31" s="223"/>
      <c r="E31" s="222">
        <v>80</v>
      </c>
      <c r="F31" s="223"/>
      <c r="G31" s="81">
        <v>40</v>
      </c>
      <c r="H31" s="81">
        <v>40</v>
      </c>
      <c r="J31" s="13" t="s">
        <v>43</v>
      </c>
      <c r="K31" s="12" t="s">
        <v>44</v>
      </c>
    </row>
    <row r="32" spans="1:27" x14ac:dyDescent="0.25">
      <c r="B32" s="80" t="s">
        <v>62</v>
      </c>
      <c r="C32" s="222">
        <v>150</v>
      </c>
      <c r="D32" s="223"/>
      <c r="E32" s="222">
        <v>150</v>
      </c>
      <c r="F32" s="223"/>
      <c r="G32" s="81">
        <f>50+40</f>
        <v>90</v>
      </c>
      <c r="H32" s="81">
        <v>90</v>
      </c>
    </row>
    <row r="33" spans="2:8" x14ac:dyDescent="0.25">
      <c r="B33" s="80" t="s">
        <v>63</v>
      </c>
      <c r="C33" s="222">
        <v>15</v>
      </c>
      <c r="D33" s="223"/>
      <c r="E33" s="222">
        <v>15</v>
      </c>
      <c r="F33" s="223"/>
      <c r="G33" s="81">
        <f>35+0.71</f>
        <v>35.71</v>
      </c>
      <c r="H33" s="81">
        <v>35.71</v>
      </c>
    </row>
    <row r="34" spans="2:8" x14ac:dyDescent="0.25">
      <c r="B34" s="82" t="s">
        <v>64</v>
      </c>
      <c r="C34" s="226">
        <v>45</v>
      </c>
      <c r="D34" s="227"/>
      <c r="E34" s="226">
        <v>45</v>
      </c>
      <c r="F34" s="227"/>
      <c r="G34" s="83">
        <f>54</f>
        <v>54</v>
      </c>
      <c r="H34" s="83">
        <f>54</f>
        <v>54</v>
      </c>
    </row>
    <row r="35" spans="2:8" x14ac:dyDescent="0.25">
      <c r="B35" s="80" t="s">
        <v>65</v>
      </c>
      <c r="C35" s="222">
        <v>15</v>
      </c>
      <c r="D35" s="223"/>
      <c r="E35" s="222">
        <v>15</v>
      </c>
      <c r="F35" s="223"/>
      <c r="G35" s="81">
        <v>10</v>
      </c>
      <c r="H35" s="81">
        <v>10</v>
      </c>
    </row>
    <row r="36" spans="2:8" x14ac:dyDescent="0.25">
      <c r="B36" s="80" t="s">
        <v>66</v>
      </c>
      <c r="C36" s="222" t="s">
        <v>67</v>
      </c>
      <c r="D36" s="223"/>
      <c r="E36" s="220">
        <v>188</v>
      </c>
      <c r="F36" s="221"/>
      <c r="G36" s="81">
        <f>53.4+28.9</f>
        <v>82.3</v>
      </c>
      <c r="H36" s="81">
        <v>82.3</v>
      </c>
    </row>
    <row r="37" spans="2:8" x14ac:dyDescent="0.25">
      <c r="B37" s="80" t="s">
        <v>68</v>
      </c>
      <c r="C37" s="222">
        <v>350</v>
      </c>
      <c r="D37" s="223"/>
      <c r="E37" s="222" t="s">
        <v>69</v>
      </c>
      <c r="F37" s="223"/>
      <c r="G37" s="81">
        <f>10+9.6+2+6+6+19.1+12.6+18.8+21.4+18.8</f>
        <v>124.3</v>
      </c>
      <c r="H37" s="102">
        <f>40+21+8+2+8+15+10+5+5+5</f>
        <v>119</v>
      </c>
    </row>
    <row r="38" spans="2:8" x14ac:dyDescent="0.25">
      <c r="B38" s="80" t="s">
        <v>70</v>
      </c>
      <c r="C38" s="222">
        <v>200</v>
      </c>
      <c r="D38" s="223"/>
      <c r="E38" s="222" t="s">
        <v>71</v>
      </c>
      <c r="F38" s="223"/>
      <c r="G38" s="81">
        <f>100+45.4</f>
        <v>145.4</v>
      </c>
      <c r="H38" s="81">
        <v>145.4</v>
      </c>
    </row>
    <row r="39" spans="2:8" ht="25.5" x14ac:dyDescent="0.25">
      <c r="B39" s="80" t="s">
        <v>72</v>
      </c>
      <c r="C39" s="222">
        <v>15</v>
      </c>
      <c r="D39" s="223"/>
      <c r="E39" s="222">
        <v>15</v>
      </c>
      <c r="F39" s="223"/>
      <c r="G39" s="81"/>
      <c r="H39" s="81"/>
    </row>
    <row r="40" spans="2:8" ht="38.25" x14ac:dyDescent="0.25">
      <c r="B40" s="80" t="s">
        <v>73</v>
      </c>
      <c r="C40" s="222">
        <v>200</v>
      </c>
      <c r="D40" s="223"/>
      <c r="E40" s="222">
        <v>200</v>
      </c>
      <c r="F40" s="223"/>
      <c r="G40" s="81"/>
      <c r="H40" s="81"/>
    </row>
    <row r="41" spans="2:8" ht="25.5" x14ac:dyDescent="0.25">
      <c r="B41" s="80" t="s">
        <v>74</v>
      </c>
      <c r="C41" s="222" t="s">
        <v>75</v>
      </c>
      <c r="D41" s="223"/>
      <c r="E41" s="222">
        <v>70</v>
      </c>
      <c r="F41" s="223"/>
      <c r="G41" s="81"/>
      <c r="H41" s="81"/>
    </row>
    <row r="42" spans="2:8" ht="25.5" x14ac:dyDescent="0.25">
      <c r="B42" s="80" t="s">
        <v>76</v>
      </c>
      <c r="C42" s="222" t="s">
        <v>77</v>
      </c>
      <c r="D42" s="223"/>
      <c r="E42" s="222">
        <v>35</v>
      </c>
      <c r="F42" s="223"/>
      <c r="G42" s="81">
        <v>40</v>
      </c>
      <c r="H42" s="81">
        <v>25</v>
      </c>
    </row>
    <row r="43" spans="2:8" x14ac:dyDescent="0.25">
      <c r="B43" s="80" t="s">
        <v>78</v>
      </c>
      <c r="C43" s="222">
        <v>60</v>
      </c>
      <c r="D43" s="223"/>
      <c r="E43" s="222">
        <v>58</v>
      </c>
      <c r="F43" s="223"/>
      <c r="G43" s="81">
        <v>246</v>
      </c>
      <c r="H43" s="81">
        <v>124</v>
      </c>
    </row>
    <row r="44" spans="2:8" x14ac:dyDescent="0.25">
      <c r="B44" s="80" t="s">
        <v>79</v>
      </c>
      <c r="C44" s="222">
        <v>15</v>
      </c>
      <c r="D44" s="223"/>
      <c r="E44" s="222">
        <v>14.7</v>
      </c>
      <c r="F44" s="223"/>
      <c r="G44" s="81"/>
      <c r="H44" s="81"/>
    </row>
    <row r="45" spans="2:8" ht="25.5" x14ac:dyDescent="0.25">
      <c r="B45" s="80" t="s">
        <v>80</v>
      </c>
      <c r="C45" s="222">
        <v>300</v>
      </c>
      <c r="D45" s="223"/>
      <c r="E45" s="222">
        <v>300</v>
      </c>
      <c r="F45" s="223"/>
      <c r="G45" s="81">
        <v>150</v>
      </c>
      <c r="H45" s="81"/>
    </row>
    <row r="46" spans="2:8" ht="25.5" x14ac:dyDescent="0.25">
      <c r="B46" s="80" t="s">
        <v>81</v>
      </c>
      <c r="C46" s="222">
        <v>150</v>
      </c>
      <c r="D46" s="223"/>
      <c r="E46" s="222">
        <v>150</v>
      </c>
      <c r="F46" s="223"/>
      <c r="G46" s="81">
        <v>206</v>
      </c>
      <c r="H46" s="81">
        <v>200</v>
      </c>
    </row>
    <row r="47" spans="2:8" ht="25.5" x14ac:dyDescent="0.25">
      <c r="B47" s="80" t="s">
        <v>82</v>
      </c>
      <c r="C47" s="222">
        <v>50</v>
      </c>
      <c r="D47" s="223"/>
      <c r="E47" s="222">
        <v>50</v>
      </c>
      <c r="F47" s="223"/>
      <c r="G47" s="81"/>
      <c r="H47" s="81"/>
    </row>
    <row r="48" spans="2:8" x14ac:dyDescent="0.25">
      <c r="B48" s="80" t="s">
        <v>83</v>
      </c>
      <c r="C48" s="222">
        <v>10</v>
      </c>
      <c r="D48" s="223"/>
      <c r="E48" s="222">
        <v>9.8000000000000007</v>
      </c>
      <c r="F48" s="223"/>
      <c r="G48" s="81"/>
      <c r="H48" s="102"/>
    </row>
    <row r="49" spans="2:8" ht="25.5" x14ac:dyDescent="0.25">
      <c r="B49" s="80" t="s">
        <v>84</v>
      </c>
      <c r="C49" s="222">
        <v>10</v>
      </c>
      <c r="D49" s="223"/>
      <c r="E49" s="222">
        <v>10</v>
      </c>
      <c r="F49" s="223"/>
      <c r="G49" s="86"/>
      <c r="H49" s="86"/>
    </row>
    <row r="50" spans="2:8" x14ac:dyDescent="0.25">
      <c r="B50" s="80" t="s">
        <v>85</v>
      </c>
      <c r="C50" s="222">
        <v>30</v>
      </c>
      <c r="D50" s="223"/>
      <c r="E50" s="222">
        <v>30</v>
      </c>
      <c r="F50" s="223"/>
      <c r="G50" s="81">
        <f>10+6.75+4+10+10</f>
        <v>40.75</v>
      </c>
      <c r="H50" s="81">
        <v>40.75</v>
      </c>
    </row>
    <row r="51" spans="2:8" x14ac:dyDescent="0.25">
      <c r="B51" s="80" t="s">
        <v>86</v>
      </c>
      <c r="C51" s="222">
        <v>15</v>
      </c>
      <c r="D51" s="223"/>
      <c r="E51" s="222">
        <v>15</v>
      </c>
      <c r="F51" s="223"/>
      <c r="G51" s="81">
        <f>2+0.32+10</f>
        <v>12.32</v>
      </c>
      <c r="H51" s="81">
        <v>12.32</v>
      </c>
    </row>
    <row r="52" spans="2:8" x14ac:dyDescent="0.25">
      <c r="B52" s="80" t="s">
        <v>87</v>
      </c>
      <c r="C52" s="222" t="s">
        <v>88</v>
      </c>
      <c r="D52" s="223"/>
      <c r="E52" s="222">
        <v>40</v>
      </c>
      <c r="F52" s="223"/>
      <c r="G52" s="102">
        <v>80.099999999999994</v>
      </c>
      <c r="H52" s="81">
        <v>80.099999999999994</v>
      </c>
    </row>
    <row r="53" spans="2:8" x14ac:dyDescent="0.25">
      <c r="B53" s="80" t="s">
        <v>89</v>
      </c>
      <c r="C53" s="222">
        <v>40</v>
      </c>
      <c r="D53" s="223"/>
      <c r="E53" s="220">
        <v>40</v>
      </c>
      <c r="F53" s="221"/>
      <c r="G53" s="81">
        <f>20+24+0.35</f>
        <v>44.35</v>
      </c>
      <c r="H53" s="81">
        <v>44.35</v>
      </c>
    </row>
    <row r="54" spans="2:8" x14ac:dyDescent="0.25">
      <c r="B54" s="80" t="s">
        <v>90</v>
      </c>
      <c r="C54" s="220">
        <v>10</v>
      </c>
      <c r="D54" s="221"/>
      <c r="E54" s="222">
        <v>10</v>
      </c>
      <c r="F54" s="223"/>
      <c r="G54" s="81"/>
      <c r="H54" s="81"/>
    </row>
    <row r="55" spans="2:8" x14ac:dyDescent="0.25">
      <c r="B55" s="80" t="s">
        <v>91</v>
      </c>
      <c r="C55" s="222">
        <v>0.4</v>
      </c>
      <c r="D55" s="223"/>
      <c r="E55" s="222">
        <v>0.4</v>
      </c>
      <c r="F55" s="223"/>
      <c r="G55" s="81"/>
      <c r="H55" s="81"/>
    </row>
    <row r="56" spans="2:8" x14ac:dyDescent="0.25">
      <c r="B56" s="80" t="s">
        <v>92</v>
      </c>
      <c r="C56" s="222">
        <v>1.2</v>
      </c>
      <c r="D56" s="223"/>
      <c r="E56" s="222">
        <v>1.2</v>
      </c>
      <c r="F56" s="223"/>
      <c r="G56" s="81"/>
      <c r="H56" s="81"/>
    </row>
    <row r="57" spans="2:8" x14ac:dyDescent="0.25">
      <c r="B57" s="80" t="s">
        <v>93</v>
      </c>
      <c r="C57" s="222">
        <v>1</v>
      </c>
      <c r="D57" s="223"/>
      <c r="E57" s="222">
        <v>1</v>
      </c>
      <c r="F57" s="223"/>
      <c r="G57" s="81">
        <v>0.1</v>
      </c>
      <c r="H57" s="81">
        <v>0.1</v>
      </c>
    </row>
    <row r="58" spans="2:8" x14ac:dyDescent="0.25">
      <c r="B58" s="80" t="s">
        <v>94</v>
      </c>
      <c r="C58" s="222">
        <v>5</v>
      </c>
      <c r="D58" s="223"/>
      <c r="E58" s="222">
        <v>5</v>
      </c>
      <c r="F58" s="223"/>
      <c r="G58" s="81">
        <v>3.03</v>
      </c>
      <c r="H58" s="81">
        <v>3.03</v>
      </c>
    </row>
    <row r="59" spans="2:8" x14ac:dyDescent="0.25">
      <c r="B59" s="99"/>
      <c r="C59" s="18"/>
      <c r="D59" s="18"/>
      <c r="E59" s="18"/>
      <c r="F59" s="18"/>
      <c r="G59" s="18"/>
      <c r="H59" s="18"/>
    </row>
    <row r="60" spans="2:8" x14ac:dyDescent="0.25">
      <c r="B60" s="99"/>
      <c r="C60" s="18"/>
      <c r="D60" s="18"/>
      <c r="E60" s="18"/>
      <c r="F60" s="18"/>
      <c r="G60" s="18"/>
      <c r="H60" s="18"/>
    </row>
    <row r="61" spans="2:8" x14ac:dyDescent="0.25">
      <c r="B61" s="99"/>
      <c r="C61" s="18"/>
      <c r="D61" s="18"/>
      <c r="E61" s="18"/>
      <c r="F61" s="18"/>
      <c r="G61" s="18"/>
      <c r="H61" s="18"/>
    </row>
    <row r="62" spans="2:8" x14ac:dyDescent="0.25">
      <c r="B62" s="99"/>
      <c r="C62" s="18"/>
      <c r="D62" s="18"/>
      <c r="E62" s="18"/>
      <c r="F62" s="18"/>
      <c r="G62" s="18"/>
      <c r="H62" s="18"/>
    </row>
    <row r="63" spans="2:8" x14ac:dyDescent="0.25">
      <c r="B63" s="99"/>
      <c r="C63" s="18"/>
      <c r="D63" s="18"/>
      <c r="E63" s="18"/>
      <c r="F63" s="18"/>
      <c r="G63" s="18"/>
      <c r="H63" s="18"/>
    </row>
    <row r="64" spans="2:8" x14ac:dyDescent="0.25">
      <c r="B64" s="99"/>
      <c r="C64" s="18"/>
      <c r="D64" s="18"/>
      <c r="E64" s="18"/>
      <c r="F64" s="18"/>
      <c r="G64" s="18"/>
      <c r="H64" s="18"/>
    </row>
    <row r="65" spans="2:8" x14ac:dyDescent="0.25">
      <c r="B65" s="99"/>
      <c r="C65" s="18"/>
      <c r="D65" s="18"/>
      <c r="E65" s="18"/>
      <c r="F65" s="18"/>
      <c r="G65" s="18"/>
      <c r="H65" s="18"/>
    </row>
    <row r="66" spans="2:8" x14ac:dyDescent="0.25">
      <c r="B66" s="99"/>
      <c r="C66" s="18"/>
      <c r="D66" s="18"/>
      <c r="E66" s="18"/>
      <c r="F66" s="18"/>
      <c r="G66" s="18"/>
      <c r="H66" s="18"/>
    </row>
  </sheetData>
  <sheetProtection formatCells="0" formatColumns="0" formatRows="0" insertColumns="0" insertRows="0" insertHyperlinks="0" deleteColumns="0" deleteRows="0" sort="0" autoFilter="0" pivotTables="0"/>
  <mergeCells count="76">
    <mergeCell ref="H5:K5"/>
    <mergeCell ref="L5:O5"/>
    <mergeCell ref="A5:A6"/>
    <mergeCell ref="B5:B6"/>
    <mergeCell ref="C5:C6"/>
    <mergeCell ref="D5:F5"/>
    <mergeCell ref="G5:G6"/>
    <mergeCell ref="B23:E24"/>
    <mergeCell ref="F23:H23"/>
    <mergeCell ref="B25:E25"/>
    <mergeCell ref="A7:O7"/>
    <mergeCell ref="A16:O16"/>
    <mergeCell ref="B27:H27"/>
    <mergeCell ref="C28:F28"/>
    <mergeCell ref="B29:B30"/>
    <mergeCell ref="C29:D29"/>
    <mergeCell ref="E29:F29"/>
    <mergeCell ref="G28:H28"/>
    <mergeCell ref="E30:F30"/>
    <mergeCell ref="C30:D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C58:D58"/>
    <mergeCell ref="C57:D57"/>
    <mergeCell ref="C56:D56"/>
    <mergeCell ref="C55:D55"/>
    <mergeCell ref="C54:D54"/>
    <mergeCell ref="C53:D53"/>
    <mergeCell ref="C52:D52"/>
    <mergeCell ref="C51:D51"/>
    <mergeCell ref="C50:D50"/>
    <mergeCell ref="C49:D49"/>
    <mergeCell ref="C48:D48"/>
    <mergeCell ref="C47:D47"/>
    <mergeCell ref="C46:D46"/>
    <mergeCell ref="C45:D4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</mergeCells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rowBreaks count="1" manualBreakCount="1">
    <brk id="26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O57"/>
  <sheetViews>
    <sheetView view="pageBreakPreview" zoomScale="80" zoomScaleNormal="90" zoomScaleSheetLayoutView="80" workbookViewId="0">
      <selection activeCell="D20" sqref="D20:O20"/>
    </sheetView>
  </sheetViews>
  <sheetFormatPr defaultRowHeight="15" x14ac:dyDescent="0.25"/>
  <cols>
    <col min="1" max="1" width="16" customWidth="1"/>
    <col min="2" max="2" width="38.7109375" bestFit="1" customWidth="1"/>
    <col min="4" max="5" width="9.5703125" bestFit="1" customWidth="1"/>
    <col min="6" max="6" width="10.85546875" bestFit="1" customWidth="1"/>
    <col min="7" max="7" width="12" customWidth="1"/>
    <col min="8" max="8" width="10.5703125" customWidth="1"/>
    <col min="9" max="9" width="11.85546875" customWidth="1"/>
    <col min="10" max="10" width="10.7109375" customWidth="1"/>
    <col min="11" max="11" width="9.28515625" bestFit="1" customWidth="1"/>
    <col min="12" max="13" width="10.85546875" bestFit="1" customWidth="1"/>
    <col min="14" max="14" width="10.140625" bestFit="1" customWidth="1"/>
  </cols>
  <sheetData>
    <row r="1" spans="1:15" ht="15.75" x14ac:dyDescent="0.25">
      <c r="A1" s="13" t="s">
        <v>37</v>
      </c>
      <c r="B1" s="139" t="s">
        <v>45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5.75" x14ac:dyDescent="0.25">
      <c r="A2" s="13" t="s">
        <v>39</v>
      </c>
      <c r="B2" s="139" t="s">
        <v>56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.75" x14ac:dyDescent="0.25">
      <c r="A3" s="13" t="s">
        <v>41</v>
      </c>
      <c r="B3" s="139" t="s">
        <v>42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31.5" x14ac:dyDescent="0.25">
      <c r="A4" s="13" t="s">
        <v>43</v>
      </c>
      <c r="B4" s="139" t="s">
        <v>44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5.75" x14ac:dyDescent="0.25">
      <c r="A5" s="324" t="s">
        <v>27</v>
      </c>
      <c r="B5" s="324" t="s">
        <v>18</v>
      </c>
      <c r="C5" s="324" t="s">
        <v>21</v>
      </c>
      <c r="D5" s="321" t="s">
        <v>30</v>
      </c>
      <c r="E5" s="322"/>
      <c r="F5" s="323"/>
      <c r="G5" s="324" t="s">
        <v>0</v>
      </c>
      <c r="H5" s="321" t="s">
        <v>29</v>
      </c>
      <c r="I5" s="322"/>
      <c r="J5" s="322"/>
      <c r="K5" s="323"/>
      <c r="L5" s="321" t="s">
        <v>28</v>
      </c>
      <c r="M5" s="322"/>
      <c r="N5" s="322"/>
      <c r="O5" s="323"/>
    </row>
    <row r="6" spans="1:15" ht="15.75" x14ac:dyDescent="0.25">
      <c r="A6" s="325"/>
      <c r="B6" s="350"/>
      <c r="C6" s="351"/>
      <c r="D6" s="7" t="s">
        <v>1</v>
      </c>
      <c r="E6" s="7" t="s">
        <v>2</v>
      </c>
      <c r="F6" s="7" t="s">
        <v>3</v>
      </c>
      <c r="G6" s="325"/>
      <c r="H6" s="7" t="s">
        <v>49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10</v>
      </c>
    </row>
    <row r="7" spans="1:15" s="30" customFormat="1" ht="26.25" customHeight="1" x14ac:dyDescent="0.2">
      <c r="A7" s="346" t="s">
        <v>20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7"/>
    </row>
    <row r="8" spans="1:15" s="14" customFormat="1" ht="30" x14ac:dyDescent="0.25">
      <c r="A8" s="185">
        <v>54</v>
      </c>
      <c r="B8" s="184" t="s">
        <v>107</v>
      </c>
      <c r="C8" s="182">
        <v>100</v>
      </c>
      <c r="D8" s="183">
        <v>1.9</v>
      </c>
      <c r="E8" s="183">
        <v>6.08</v>
      </c>
      <c r="F8" s="183">
        <v>11.2</v>
      </c>
      <c r="G8" s="183">
        <v>103.9</v>
      </c>
      <c r="H8" s="183">
        <v>2E-3</v>
      </c>
      <c r="I8" s="183">
        <v>6.44</v>
      </c>
      <c r="J8" s="183"/>
      <c r="K8" s="183">
        <v>10.6</v>
      </c>
      <c r="L8" s="183">
        <v>29.27</v>
      </c>
      <c r="M8" s="183">
        <v>31.8</v>
      </c>
      <c r="N8" s="183">
        <v>16.829999999999998</v>
      </c>
      <c r="O8" s="183">
        <v>1.48</v>
      </c>
    </row>
    <row r="9" spans="1:15" s="14" customFormat="1" ht="27" customHeight="1" x14ac:dyDescent="0.25">
      <c r="A9" s="185">
        <v>98</v>
      </c>
      <c r="B9" s="184" t="s">
        <v>108</v>
      </c>
      <c r="C9" s="185">
        <v>250</v>
      </c>
      <c r="D9" s="183">
        <v>2.2799999999999998</v>
      </c>
      <c r="E9" s="183">
        <v>5.12</v>
      </c>
      <c r="F9" s="183">
        <v>6.09</v>
      </c>
      <c r="G9" s="183">
        <v>111.25</v>
      </c>
      <c r="H9" s="183">
        <v>0.04</v>
      </c>
      <c r="I9" s="183">
        <v>9.8800000000000008</v>
      </c>
      <c r="J9" s="183"/>
      <c r="K9" s="183">
        <v>2.2999999999999998</v>
      </c>
      <c r="L9" s="183">
        <v>37.880000000000003</v>
      </c>
      <c r="M9" s="183">
        <v>33.58</v>
      </c>
      <c r="N9" s="183">
        <v>14.18</v>
      </c>
      <c r="O9" s="183">
        <v>0.57999999999999996</v>
      </c>
    </row>
    <row r="10" spans="1:15" s="29" customFormat="1" x14ac:dyDescent="0.2">
      <c r="A10" s="185">
        <v>258</v>
      </c>
      <c r="B10" s="184" t="s">
        <v>120</v>
      </c>
      <c r="C10" s="182">
        <v>200</v>
      </c>
      <c r="D10" s="183">
        <v>13.9</v>
      </c>
      <c r="E10" s="183">
        <v>10.1</v>
      </c>
      <c r="F10" s="183">
        <v>15</v>
      </c>
      <c r="G10" s="183">
        <v>243.5</v>
      </c>
      <c r="H10" s="183">
        <v>0.1</v>
      </c>
      <c r="I10" s="183">
        <v>7.8</v>
      </c>
      <c r="J10" s="183"/>
      <c r="K10" s="183">
        <v>2</v>
      </c>
      <c r="L10" s="183">
        <v>19.5</v>
      </c>
      <c r="M10" s="183">
        <v>153.6</v>
      </c>
      <c r="N10" s="183">
        <v>32.4</v>
      </c>
      <c r="O10" s="183">
        <v>2.4</v>
      </c>
    </row>
    <row r="11" spans="1:15" s="14" customFormat="1" x14ac:dyDescent="0.25">
      <c r="A11" s="185">
        <v>375</v>
      </c>
      <c r="B11" s="184" t="s">
        <v>100</v>
      </c>
      <c r="C11" s="185">
        <v>200</v>
      </c>
      <c r="D11" s="183">
        <v>0.4</v>
      </c>
      <c r="E11" s="183">
        <v>0.1</v>
      </c>
      <c r="F11" s="183">
        <v>0.08</v>
      </c>
      <c r="G11" s="183">
        <v>6.4</v>
      </c>
      <c r="H11" s="190" t="s">
        <v>101</v>
      </c>
      <c r="I11" s="183">
        <v>0.2</v>
      </c>
      <c r="J11" s="183"/>
      <c r="K11" s="183"/>
      <c r="L11" s="183">
        <v>19.62</v>
      </c>
      <c r="M11" s="183">
        <v>16.48</v>
      </c>
      <c r="N11" s="183">
        <v>8.8000000000000007</v>
      </c>
      <c r="O11" s="183">
        <v>1.64</v>
      </c>
    </row>
    <row r="12" spans="1:15" s="14" customFormat="1" x14ac:dyDescent="0.25">
      <c r="A12" s="186"/>
      <c r="B12" s="184" t="s">
        <v>14</v>
      </c>
      <c r="C12" s="185">
        <v>40</v>
      </c>
      <c r="D12" s="183">
        <v>2.2400000000000002</v>
      </c>
      <c r="E12" s="183">
        <v>0.88</v>
      </c>
      <c r="F12" s="183">
        <v>19.760000000000002</v>
      </c>
      <c r="G12" s="183">
        <v>91.96</v>
      </c>
      <c r="H12" s="183">
        <v>0.04</v>
      </c>
      <c r="I12" s="183"/>
      <c r="J12" s="183"/>
      <c r="K12" s="183">
        <v>0.36</v>
      </c>
      <c r="L12" s="183">
        <v>9.1999999999999993</v>
      </c>
      <c r="M12" s="183">
        <v>42.4</v>
      </c>
      <c r="N12" s="183">
        <v>10</v>
      </c>
      <c r="O12" s="183">
        <v>1.24</v>
      </c>
    </row>
    <row r="13" spans="1:15" s="14" customFormat="1" x14ac:dyDescent="0.25">
      <c r="A13" s="186"/>
      <c r="B13" s="184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15" s="30" customFormat="1" ht="15.75" customHeight="1" x14ac:dyDescent="0.2">
      <c r="A14" s="187" t="s">
        <v>11</v>
      </c>
      <c r="B14" s="188"/>
      <c r="C14" s="188"/>
      <c r="D14" s="189">
        <f>D13+D12+D11+D10+D9+D8</f>
        <v>20.72</v>
      </c>
      <c r="E14" s="189">
        <f t="shared" ref="E14:O14" si="0">E13+E12+E11+E10+E9+E8</f>
        <v>22.28</v>
      </c>
      <c r="F14" s="189">
        <f t="shared" si="0"/>
        <v>52.13000000000001</v>
      </c>
      <c r="G14" s="189">
        <f t="shared" si="0"/>
        <v>557.01</v>
      </c>
      <c r="H14" s="189">
        <f t="shared" si="0"/>
        <v>0.18200000000000002</v>
      </c>
      <c r="I14" s="189">
        <f t="shared" si="0"/>
        <v>24.320000000000004</v>
      </c>
      <c r="J14" s="189">
        <f t="shared" si="0"/>
        <v>0</v>
      </c>
      <c r="K14" s="189">
        <f t="shared" si="0"/>
        <v>15.26</v>
      </c>
      <c r="L14" s="189">
        <f t="shared" si="0"/>
        <v>115.47</v>
      </c>
      <c r="M14" s="189">
        <f t="shared" si="0"/>
        <v>277.86</v>
      </c>
      <c r="N14" s="189">
        <f t="shared" si="0"/>
        <v>82.21</v>
      </c>
      <c r="O14" s="189">
        <f t="shared" si="0"/>
        <v>7.34</v>
      </c>
    </row>
    <row r="15" spans="1:15" s="11" customFormat="1" ht="24" customHeight="1" x14ac:dyDescent="0.2">
      <c r="A15" s="348" t="s">
        <v>19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9"/>
    </row>
    <row r="16" spans="1:15" s="14" customFormat="1" x14ac:dyDescent="0.25">
      <c r="A16" s="185"/>
      <c r="B16" s="184"/>
      <c r="C16" s="185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</row>
    <row r="17" spans="1:15" s="181" customFormat="1" ht="18.75" customHeight="1" x14ac:dyDescent="0.25">
      <c r="A17" s="185"/>
      <c r="B17" s="184"/>
      <c r="C17" s="185"/>
      <c r="D17" s="183"/>
      <c r="E17" s="183"/>
      <c r="F17" s="183"/>
      <c r="G17" s="183"/>
      <c r="H17" s="191"/>
      <c r="I17" s="183"/>
      <c r="J17" s="183"/>
      <c r="K17" s="183"/>
      <c r="L17" s="183"/>
      <c r="M17" s="183"/>
      <c r="N17" s="183"/>
      <c r="O17" s="183"/>
    </row>
    <row r="18" spans="1:15" s="29" customFormat="1" x14ac:dyDescent="0.2">
      <c r="A18" s="185"/>
      <c r="B18" s="184"/>
      <c r="C18" s="185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</row>
    <row r="19" spans="1:15" s="30" customFormat="1" ht="16.149999999999999" customHeight="1" x14ac:dyDescent="0.2">
      <c r="A19" s="187" t="s">
        <v>11</v>
      </c>
      <c r="B19" s="188"/>
      <c r="C19" s="188"/>
      <c r="D19" s="189">
        <f>D18+D17+D16</f>
        <v>0</v>
      </c>
      <c r="E19" s="189">
        <f t="shared" ref="E19:O19" si="1">E18+E17+E16</f>
        <v>0</v>
      </c>
      <c r="F19" s="189">
        <f t="shared" si="1"/>
        <v>0</v>
      </c>
      <c r="G19" s="189">
        <f t="shared" si="1"/>
        <v>0</v>
      </c>
      <c r="H19" s="189">
        <f t="shared" si="1"/>
        <v>0</v>
      </c>
      <c r="I19" s="189">
        <f t="shared" si="1"/>
        <v>0</v>
      </c>
      <c r="J19" s="189">
        <f t="shared" si="1"/>
        <v>0</v>
      </c>
      <c r="K19" s="189">
        <f t="shared" si="1"/>
        <v>0</v>
      </c>
      <c r="L19" s="189">
        <f t="shared" si="1"/>
        <v>0</v>
      </c>
      <c r="M19" s="189">
        <f t="shared" si="1"/>
        <v>0</v>
      </c>
      <c r="N19" s="189">
        <f t="shared" si="1"/>
        <v>0</v>
      </c>
      <c r="O19" s="189">
        <f t="shared" si="1"/>
        <v>0</v>
      </c>
    </row>
    <row r="20" spans="1:15" s="11" customFormat="1" ht="16.149999999999999" customHeight="1" x14ac:dyDescent="0.2">
      <c r="A20" s="192" t="s">
        <v>15</v>
      </c>
      <c r="B20" s="193"/>
      <c r="C20" s="194"/>
      <c r="D20" s="195">
        <f>D14+D19</f>
        <v>20.72</v>
      </c>
      <c r="E20" s="195">
        <f t="shared" ref="E20:O20" si="2">E14+E19</f>
        <v>22.28</v>
      </c>
      <c r="F20" s="195">
        <f t="shared" si="2"/>
        <v>52.13000000000001</v>
      </c>
      <c r="G20" s="195">
        <f t="shared" si="2"/>
        <v>557.01</v>
      </c>
      <c r="H20" s="195">
        <f t="shared" si="2"/>
        <v>0.18200000000000002</v>
      </c>
      <c r="I20" s="195">
        <f t="shared" si="2"/>
        <v>24.320000000000004</v>
      </c>
      <c r="J20" s="195">
        <f t="shared" si="2"/>
        <v>0</v>
      </c>
      <c r="K20" s="195">
        <f t="shared" si="2"/>
        <v>15.26</v>
      </c>
      <c r="L20" s="195">
        <f t="shared" si="2"/>
        <v>115.47</v>
      </c>
      <c r="M20" s="195">
        <f t="shared" si="2"/>
        <v>277.86</v>
      </c>
      <c r="N20" s="195">
        <f t="shared" si="2"/>
        <v>82.21</v>
      </c>
      <c r="O20" s="195">
        <f t="shared" si="2"/>
        <v>7.34</v>
      </c>
    </row>
    <row r="21" spans="1:15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5.75" thickBot="1" x14ac:dyDescent="0.3">
      <c r="A22" s="1"/>
      <c r="B22" s="253" t="s">
        <v>51</v>
      </c>
      <c r="C22" s="254"/>
      <c r="D22" s="254"/>
      <c r="E22" s="254"/>
      <c r="F22" s="343" t="s">
        <v>52</v>
      </c>
      <c r="G22" s="344"/>
      <c r="H22" s="345"/>
      <c r="I22" s="196" t="s">
        <v>53</v>
      </c>
      <c r="J22" s="1"/>
      <c r="K22" s="1"/>
      <c r="L22" s="1"/>
      <c r="M22" s="1"/>
      <c r="N22" s="1"/>
      <c r="O22" s="1"/>
    </row>
    <row r="23" spans="1:15" ht="15.75" thickBot="1" x14ac:dyDescent="0.3">
      <c r="A23" s="1"/>
      <c r="B23" s="259"/>
      <c r="C23" s="260"/>
      <c r="D23" s="260"/>
      <c r="E23" s="260"/>
      <c r="F23" s="197" t="s">
        <v>1</v>
      </c>
      <c r="G23" s="197" t="s">
        <v>2</v>
      </c>
      <c r="H23" s="197" t="s">
        <v>3</v>
      </c>
      <c r="I23" s="198"/>
      <c r="J23" s="1"/>
      <c r="K23" s="1"/>
      <c r="L23" s="1"/>
      <c r="M23" s="1"/>
      <c r="N23" s="1"/>
      <c r="O23" s="1"/>
    </row>
    <row r="24" spans="1:15" ht="15.75" thickBot="1" x14ac:dyDescent="0.3">
      <c r="A24" s="1"/>
      <c r="B24" s="228" t="s">
        <v>54</v>
      </c>
      <c r="C24" s="229"/>
      <c r="D24" s="229"/>
      <c r="E24" s="229"/>
      <c r="F24" s="199">
        <f>D20</f>
        <v>20.72</v>
      </c>
      <c r="G24" s="199">
        <f>E20</f>
        <v>22.28</v>
      </c>
      <c r="H24" s="199">
        <f>F20</f>
        <v>52.13000000000001</v>
      </c>
      <c r="I24" s="199">
        <f>G20</f>
        <v>557.01</v>
      </c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32.25" customHeight="1" x14ac:dyDescent="0.25">
      <c r="A26" s="1"/>
      <c r="B26" s="335" t="s">
        <v>95</v>
      </c>
      <c r="C26" s="335"/>
      <c r="D26" s="335"/>
      <c r="E26" s="335"/>
      <c r="F26" s="335"/>
      <c r="G26" s="335"/>
      <c r="H26" s="335"/>
      <c r="I26" s="1"/>
      <c r="J26" s="1"/>
      <c r="K26" s="1"/>
      <c r="L26" s="1"/>
      <c r="M26" s="1"/>
      <c r="N26" s="1"/>
      <c r="O26" s="1"/>
    </row>
    <row r="27" spans="1:15" ht="20.25" customHeight="1" x14ac:dyDescent="0.25">
      <c r="A27" s="1"/>
      <c r="B27" s="200" t="s">
        <v>57</v>
      </c>
      <c r="C27" s="336" t="s">
        <v>58</v>
      </c>
      <c r="D27" s="336"/>
      <c r="E27" s="336"/>
      <c r="F27" s="336"/>
      <c r="G27" s="341" t="s">
        <v>96</v>
      </c>
      <c r="H27" s="342"/>
      <c r="I27" s="1"/>
      <c r="J27" s="201" t="s">
        <v>37</v>
      </c>
      <c r="K27" s="202" t="s">
        <v>45</v>
      </c>
      <c r="L27" s="1"/>
      <c r="M27" s="1"/>
      <c r="N27" s="1"/>
      <c r="O27" s="1"/>
    </row>
    <row r="28" spans="1:15" ht="30" x14ac:dyDescent="0.25">
      <c r="A28" s="1"/>
      <c r="B28" s="337"/>
      <c r="C28" s="339" t="s">
        <v>59</v>
      </c>
      <c r="D28" s="340"/>
      <c r="E28" s="339" t="s">
        <v>60</v>
      </c>
      <c r="F28" s="340"/>
      <c r="G28" s="200" t="s">
        <v>59</v>
      </c>
      <c r="H28" s="200" t="s">
        <v>60</v>
      </c>
      <c r="I28" s="1"/>
      <c r="J28" s="201" t="s">
        <v>39</v>
      </c>
      <c r="K28" s="202" t="s">
        <v>56</v>
      </c>
      <c r="L28" s="1"/>
      <c r="M28" s="1"/>
      <c r="N28" s="1"/>
      <c r="O28" s="1"/>
    </row>
    <row r="29" spans="1:15" ht="30" x14ac:dyDescent="0.25">
      <c r="A29" s="1"/>
      <c r="B29" s="338"/>
      <c r="C29" s="339" t="s">
        <v>110</v>
      </c>
      <c r="D29" s="340"/>
      <c r="E29" s="339" t="s">
        <v>109</v>
      </c>
      <c r="F29" s="340"/>
      <c r="G29" s="200" t="s">
        <v>109</v>
      </c>
      <c r="H29" s="200" t="s">
        <v>109</v>
      </c>
      <c r="I29" s="1"/>
      <c r="J29" s="201" t="s">
        <v>41</v>
      </c>
      <c r="K29" s="202" t="s">
        <v>42</v>
      </c>
      <c r="L29" s="1"/>
      <c r="M29" s="1"/>
      <c r="N29" s="1"/>
      <c r="O29" s="1"/>
    </row>
    <row r="30" spans="1:15" ht="57" x14ac:dyDescent="0.25">
      <c r="A30" s="1"/>
      <c r="B30" s="203" t="s">
        <v>61</v>
      </c>
      <c r="C30" s="329">
        <v>80</v>
      </c>
      <c r="D30" s="330"/>
      <c r="E30" s="329">
        <v>80</v>
      </c>
      <c r="F30" s="330"/>
      <c r="G30" s="204">
        <v>40</v>
      </c>
      <c r="H30" s="204">
        <v>40</v>
      </c>
      <c r="I30" s="1"/>
      <c r="J30" s="201" t="s">
        <v>43</v>
      </c>
      <c r="K30" s="202" t="s">
        <v>44</v>
      </c>
      <c r="L30" s="1"/>
      <c r="M30" s="1"/>
      <c r="N30" s="1"/>
      <c r="O30" s="1"/>
    </row>
    <row r="31" spans="1:15" x14ac:dyDescent="0.25">
      <c r="A31" s="1"/>
      <c r="B31" s="203" t="s">
        <v>62</v>
      </c>
      <c r="C31" s="329">
        <v>150</v>
      </c>
      <c r="D31" s="330"/>
      <c r="E31" s="329">
        <v>150</v>
      </c>
      <c r="F31" s="330"/>
      <c r="G31" s="204">
        <v>70</v>
      </c>
      <c r="H31" s="204">
        <v>70</v>
      </c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203" t="s">
        <v>63</v>
      </c>
      <c r="C32" s="329">
        <v>15</v>
      </c>
      <c r="D32" s="330"/>
      <c r="E32" s="329">
        <v>15</v>
      </c>
      <c r="F32" s="330"/>
      <c r="G32" s="204">
        <f>2+0.6+17.9</f>
        <v>20.5</v>
      </c>
      <c r="H32" s="204">
        <v>20.5</v>
      </c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205" t="s">
        <v>64</v>
      </c>
      <c r="C33" s="331">
        <v>45</v>
      </c>
      <c r="D33" s="332"/>
      <c r="E33" s="331">
        <v>45</v>
      </c>
      <c r="F33" s="332"/>
      <c r="G33" s="206">
        <v>44</v>
      </c>
      <c r="H33" s="206">
        <v>44</v>
      </c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203" t="s">
        <v>65</v>
      </c>
      <c r="C34" s="329">
        <v>15</v>
      </c>
      <c r="D34" s="330"/>
      <c r="E34" s="329">
        <v>15</v>
      </c>
      <c r="F34" s="330"/>
      <c r="G34" s="204">
        <v>52.5</v>
      </c>
      <c r="H34" s="204">
        <v>52.5</v>
      </c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203" t="s">
        <v>66</v>
      </c>
      <c r="C35" s="329" t="s">
        <v>67</v>
      </c>
      <c r="D35" s="330"/>
      <c r="E35" s="333">
        <v>188</v>
      </c>
      <c r="F35" s="334"/>
      <c r="G35" s="204">
        <v>40</v>
      </c>
      <c r="H35" s="204">
        <v>30</v>
      </c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203" t="s">
        <v>68</v>
      </c>
      <c r="C36" s="329">
        <v>350</v>
      </c>
      <c r="D36" s="330"/>
      <c r="E36" s="329" t="s">
        <v>69</v>
      </c>
      <c r="F36" s="330"/>
      <c r="G36" s="204">
        <f>63+12.5+3.25+12+2.5+3+2.5+12.5+12+12+92.6</f>
        <v>227.85</v>
      </c>
      <c r="H36" s="204">
        <f>50+10+2.5+10+2.5+10+2.5+2+2+30</f>
        <v>121.5</v>
      </c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203" t="s">
        <v>70</v>
      </c>
      <c r="C37" s="329">
        <v>200</v>
      </c>
      <c r="D37" s="330"/>
      <c r="E37" s="329" t="s">
        <v>71</v>
      </c>
      <c r="F37" s="330"/>
      <c r="G37" s="204">
        <f>20.7+100+14.3</f>
        <v>135</v>
      </c>
      <c r="H37" s="204">
        <f>100+10+18.2</f>
        <v>128.19999999999999</v>
      </c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203" t="s">
        <v>72</v>
      </c>
      <c r="C38" s="329">
        <v>15</v>
      </c>
      <c r="D38" s="330"/>
      <c r="E38" s="329">
        <v>15</v>
      </c>
      <c r="F38" s="330"/>
      <c r="G38" s="204">
        <f>5.6</f>
        <v>5.6</v>
      </c>
      <c r="H38" s="204">
        <v>10</v>
      </c>
      <c r="I38" s="1"/>
      <c r="J38" s="1"/>
      <c r="K38" s="1"/>
      <c r="L38" s="1"/>
      <c r="M38" s="1"/>
      <c r="N38" s="1"/>
      <c r="O38" s="1"/>
    </row>
    <row r="39" spans="1:15" ht="30" x14ac:dyDescent="0.25">
      <c r="A39" s="1"/>
      <c r="B39" s="203" t="s">
        <v>73</v>
      </c>
      <c r="C39" s="329">
        <v>200</v>
      </c>
      <c r="D39" s="330"/>
      <c r="E39" s="329">
        <v>200</v>
      </c>
      <c r="F39" s="330"/>
      <c r="G39" s="204">
        <v>200</v>
      </c>
      <c r="H39" s="204">
        <v>200</v>
      </c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203" t="s">
        <v>74</v>
      </c>
      <c r="C40" s="329" t="s">
        <v>75</v>
      </c>
      <c r="D40" s="330"/>
      <c r="E40" s="329">
        <v>70</v>
      </c>
      <c r="F40" s="330"/>
      <c r="G40" s="204">
        <f>110+40</f>
        <v>150</v>
      </c>
      <c r="H40" s="204">
        <f>81+25</f>
        <v>106</v>
      </c>
      <c r="I40" s="1"/>
      <c r="J40" s="1"/>
      <c r="K40" s="1"/>
      <c r="L40" s="1"/>
      <c r="M40" s="1"/>
      <c r="N40" s="1"/>
      <c r="O40" s="1"/>
    </row>
    <row r="41" spans="1:15" ht="30" x14ac:dyDescent="0.25">
      <c r="A41" s="1"/>
      <c r="B41" s="203" t="s">
        <v>76</v>
      </c>
      <c r="C41" s="329" t="s">
        <v>77</v>
      </c>
      <c r="D41" s="330"/>
      <c r="E41" s="329">
        <v>35</v>
      </c>
      <c r="F41" s="330"/>
      <c r="G41" s="204"/>
      <c r="H41" s="204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203" t="s">
        <v>78</v>
      </c>
      <c r="C42" s="329">
        <v>60</v>
      </c>
      <c r="D42" s="330"/>
      <c r="E42" s="329">
        <v>58</v>
      </c>
      <c r="F42" s="330"/>
      <c r="G42" s="204"/>
      <c r="H42" s="204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203" t="s">
        <v>79</v>
      </c>
      <c r="C43" s="329">
        <v>15</v>
      </c>
      <c r="D43" s="330"/>
      <c r="E43" s="329">
        <v>14.7</v>
      </c>
      <c r="F43" s="330"/>
      <c r="G43" s="204"/>
      <c r="H43" s="204"/>
      <c r="I43" s="1"/>
      <c r="J43" s="1"/>
      <c r="K43" s="1"/>
      <c r="L43" s="1"/>
      <c r="M43" s="1"/>
      <c r="N43" s="1"/>
      <c r="O43" s="1"/>
    </row>
    <row r="44" spans="1:15" ht="30" x14ac:dyDescent="0.25">
      <c r="A44" s="1"/>
      <c r="B44" s="203" t="s">
        <v>80</v>
      </c>
      <c r="C44" s="329">
        <v>300</v>
      </c>
      <c r="D44" s="330"/>
      <c r="E44" s="329">
        <v>300</v>
      </c>
      <c r="F44" s="330"/>
      <c r="G44" s="204">
        <f>211+200</f>
        <v>411</v>
      </c>
      <c r="H44" s="204">
        <f>400</f>
        <v>400</v>
      </c>
      <c r="I44" s="1"/>
      <c r="J44" s="1"/>
      <c r="K44" s="1"/>
      <c r="L44" s="1"/>
      <c r="M44" s="1"/>
      <c r="N44" s="1"/>
      <c r="O44" s="1"/>
    </row>
    <row r="45" spans="1:15" ht="30" x14ac:dyDescent="0.25">
      <c r="A45" s="1"/>
      <c r="B45" s="203" t="s">
        <v>81</v>
      </c>
      <c r="C45" s="329">
        <v>150</v>
      </c>
      <c r="D45" s="330"/>
      <c r="E45" s="329">
        <v>150</v>
      </c>
      <c r="F45" s="330"/>
      <c r="G45" s="204"/>
      <c r="H45" s="204"/>
      <c r="I45" s="1"/>
      <c r="J45" s="1"/>
      <c r="K45" s="1"/>
      <c r="L45" s="1"/>
      <c r="M45" s="1"/>
      <c r="N45" s="1"/>
      <c r="O45" s="1"/>
    </row>
    <row r="46" spans="1:15" ht="30" x14ac:dyDescent="0.25">
      <c r="A46" s="1"/>
      <c r="B46" s="203" t="s">
        <v>82</v>
      </c>
      <c r="C46" s="329">
        <v>50</v>
      </c>
      <c r="D46" s="330"/>
      <c r="E46" s="329">
        <v>50</v>
      </c>
      <c r="F46" s="330"/>
      <c r="G46" s="204"/>
      <c r="H46" s="204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203" t="s">
        <v>83</v>
      </c>
      <c r="C47" s="329">
        <v>10</v>
      </c>
      <c r="D47" s="330"/>
      <c r="E47" s="329">
        <v>9.8000000000000007</v>
      </c>
      <c r="F47" s="330"/>
      <c r="G47" s="204">
        <v>16</v>
      </c>
      <c r="H47" s="204">
        <v>15</v>
      </c>
      <c r="I47" s="1"/>
      <c r="J47" s="1"/>
      <c r="K47" s="1"/>
      <c r="L47" s="1"/>
      <c r="M47" s="1"/>
      <c r="N47" s="1"/>
      <c r="O47" s="1"/>
    </row>
    <row r="48" spans="1:15" ht="30" x14ac:dyDescent="0.25">
      <c r="A48" s="1"/>
      <c r="B48" s="203" t="s">
        <v>84</v>
      </c>
      <c r="C48" s="329">
        <v>10</v>
      </c>
      <c r="D48" s="330"/>
      <c r="E48" s="329">
        <v>10</v>
      </c>
      <c r="F48" s="330"/>
      <c r="G48" s="207"/>
      <c r="H48" s="207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203" t="s">
        <v>85</v>
      </c>
      <c r="C49" s="329">
        <v>30</v>
      </c>
      <c r="D49" s="330"/>
      <c r="E49" s="329">
        <v>30</v>
      </c>
      <c r="F49" s="330"/>
      <c r="G49" s="204">
        <f>5+10+4.5+0.8</f>
        <v>20.3</v>
      </c>
      <c r="H49" s="204">
        <v>20.3</v>
      </c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203" t="s">
        <v>86</v>
      </c>
      <c r="C50" s="329">
        <v>15</v>
      </c>
      <c r="D50" s="330"/>
      <c r="E50" s="329">
        <v>15</v>
      </c>
      <c r="F50" s="330"/>
      <c r="G50" s="204">
        <v>15.7</v>
      </c>
      <c r="H50" s="204">
        <v>15.7</v>
      </c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203" t="s">
        <v>87</v>
      </c>
      <c r="C51" s="329" t="s">
        <v>88</v>
      </c>
      <c r="D51" s="330"/>
      <c r="E51" s="329">
        <v>40</v>
      </c>
      <c r="F51" s="330"/>
      <c r="G51" s="204">
        <f>0.7+0.9</f>
        <v>1.6</v>
      </c>
      <c r="H51" s="204">
        <v>1.6</v>
      </c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203" t="s">
        <v>89</v>
      </c>
      <c r="C52" s="329">
        <v>40</v>
      </c>
      <c r="D52" s="330"/>
      <c r="E52" s="333">
        <v>40</v>
      </c>
      <c r="F52" s="334"/>
      <c r="G52" s="204">
        <f>1+6+2+5.4+20+0.9</f>
        <v>35.299999999999997</v>
      </c>
      <c r="H52" s="204">
        <v>35.299999999999997</v>
      </c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203" t="s">
        <v>90</v>
      </c>
      <c r="C53" s="333">
        <v>10</v>
      </c>
      <c r="D53" s="334"/>
      <c r="E53" s="329">
        <v>10</v>
      </c>
      <c r="F53" s="330"/>
      <c r="G53" s="204"/>
      <c r="H53" s="204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203" t="s">
        <v>91</v>
      </c>
      <c r="C54" s="329">
        <v>0.4</v>
      </c>
      <c r="D54" s="330"/>
      <c r="E54" s="329">
        <v>0.4</v>
      </c>
      <c r="F54" s="330"/>
      <c r="G54" s="204"/>
      <c r="H54" s="204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203" t="s">
        <v>92</v>
      </c>
      <c r="C55" s="329">
        <v>1.2</v>
      </c>
      <c r="D55" s="330"/>
      <c r="E55" s="329">
        <v>1.2</v>
      </c>
      <c r="F55" s="330"/>
      <c r="G55" s="204"/>
      <c r="H55" s="204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203" t="s">
        <v>93</v>
      </c>
      <c r="C56" s="329">
        <v>1</v>
      </c>
      <c r="D56" s="330"/>
      <c r="E56" s="329">
        <v>1</v>
      </c>
      <c r="F56" s="330"/>
      <c r="G56" s="204">
        <v>0.5</v>
      </c>
      <c r="H56" s="204">
        <v>0.5</v>
      </c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203" t="s">
        <v>94</v>
      </c>
      <c r="C57" s="329">
        <v>5</v>
      </c>
      <c r="D57" s="330"/>
      <c r="E57" s="329">
        <v>5</v>
      </c>
      <c r="F57" s="330"/>
      <c r="G57" s="204">
        <v>3.2</v>
      </c>
      <c r="H57" s="204">
        <v>3.2</v>
      </c>
      <c r="I57" s="1"/>
      <c r="J57" s="1"/>
      <c r="K57" s="1"/>
      <c r="L57" s="1"/>
      <c r="M57" s="1"/>
      <c r="N57" s="1"/>
      <c r="O57" s="1"/>
    </row>
  </sheetData>
  <sheetProtection formatCells="0" formatColumns="0" formatRows="0" insertColumns="0" insertRows="0" insertHyperlinks="0" deleteColumns="0" deleteRows="0" sort="0" autoFilter="0" pivotTables="0"/>
  <mergeCells count="76">
    <mergeCell ref="H5:K5"/>
    <mergeCell ref="L5:O5"/>
    <mergeCell ref="A5:A6"/>
    <mergeCell ref="B5:B6"/>
    <mergeCell ref="C5:C6"/>
    <mergeCell ref="D5:F5"/>
    <mergeCell ref="G5:G6"/>
    <mergeCell ref="B22:E23"/>
    <mergeCell ref="F22:H22"/>
    <mergeCell ref="B24:E24"/>
    <mergeCell ref="A7:O7"/>
    <mergeCell ref="A15:O15"/>
    <mergeCell ref="B26:H26"/>
    <mergeCell ref="C27:F27"/>
    <mergeCell ref="B28:B29"/>
    <mergeCell ref="C28:D28"/>
    <mergeCell ref="E28:F28"/>
    <mergeCell ref="G27:H27"/>
    <mergeCell ref="C29:D29"/>
    <mergeCell ref="E29:F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31:F31"/>
    <mergeCell ref="E30:F30"/>
  </mergeCells>
  <pageMargins left="0.70866141732283472" right="0.70866141732283472" top="0.74803149606299213" bottom="0.74803149606299213" header="0.31496062992125984" footer="0.31496062992125984"/>
  <pageSetup paperSize="9" scale="68" fitToWidth="2" fitToHeight="2" orientation="landscape" r:id="rId1"/>
  <rowBreaks count="1" manualBreakCount="1">
    <brk id="2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Q58"/>
  <sheetViews>
    <sheetView view="pageBreakPreview" zoomScale="80" zoomScaleSheetLayoutView="80" workbookViewId="0">
      <selection activeCell="D21" sqref="D21:O21"/>
    </sheetView>
  </sheetViews>
  <sheetFormatPr defaultRowHeight="15" x14ac:dyDescent="0.25"/>
  <cols>
    <col min="1" max="1" width="12.7109375" customWidth="1"/>
    <col min="2" max="2" width="27.28515625" bestFit="1" customWidth="1"/>
    <col min="6" max="6" width="10.7109375" bestFit="1" customWidth="1"/>
    <col min="7" max="7" width="10" customWidth="1"/>
    <col min="8" max="8" width="10.5703125" customWidth="1"/>
    <col min="9" max="9" width="11" customWidth="1"/>
    <col min="10" max="10" width="10.42578125" customWidth="1"/>
    <col min="13" max="13" width="9.28515625" bestFit="1" customWidth="1"/>
  </cols>
  <sheetData>
    <row r="1" spans="1:17" ht="15.75" x14ac:dyDescent="0.25">
      <c r="A1" s="13" t="s">
        <v>37</v>
      </c>
      <c r="B1" s="12" t="s">
        <v>46</v>
      </c>
    </row>
    <row r="2" spans="1:17" ht="15.75" x14ac:dyDescent="0.25">
      <c r="A2" s="13" t="s">
        <v>39</v>
      </c>
      <c r="B2" s="12" t="s">
        <v>56</v>
      </c>
    </row>
    <row r="3" spans="1:17" ht="15.75" x14ac:dyDescent="0.25">
      <c r="A3" s="13" t="s">
        <v>41</v>
      </c>
      <c r="B3" s="12" t="s">
        <v>42</v>
      </c>
    </row>
    <row r="4" spans="1:17" ht="31.5" x14ac:dyDescent="0.25">
      <c r="A4" s="13" t="s">
        <v>43</v>
      </c>
      <c r="B4" s="12" t="s">
        <v>44</v>
      </c>
    </row>
    <row r="5" spans="1:17" ht="15.75" x14ac:dyDescent="0.25">
      <c r="A5" s="324" t="s">
        <v>27</v>
      </c>
      <c r="B5" s="324" t="s">
        <v>18</v>
      </c>
      <c r="C5" s="324" t="s">
        <v>21</v>
      </c>
      <c r="D5" s="321" t="s">
        <v>30</v>
      </c>
      <c r="E5" s="322"/>
      <c r="F5" s="323"/>
      <c r="G5" s="324" t="s">
        <v>0</v>
      </c>
      <c r="H5" s="321" t="s">
        <v>29</v>
      </c>
      <c r="I5" s="322"/>
      <c r="J5" s="322"/>
      <c r="K5" s="323"/>
      <c r="L5" s="321" t="s">
        <v>28</v>
      </c>
      <c r="M5" s="322"/>
      <c r="N5" s="322"/>
      <c r="O5" s="323"/>
    </row>
    <row r="6" spans="1:17" ht="15.75" x14ac:dyDescent="0.25">
      <c r="A6" s="325"/>
      <c r="B6" s="326"/>
      <c r="C6" s="327"/>
      <c r="D6" s="7" t="s">
        <v>1</v>
      </c>
      <c r="E6" s="7" t="s">
        <v>2</v>
      </c>
      <c r="F6" s="7" t="s">
        <v>3</v>
      </c>
      <c r="G6" s="325"/>
      <c r="H6" s="7" t="s">
        <v>17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10</v>
      </c>
    </row>
    <row r="7" spans="1:17" s="30" customFormat="1" ht="16.149999999999999" customHeight="1" x14ac:dyDescent="0.2">
      <c r="A7" s="352" t="s">
        <v>20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57"/>
      <c r="Q7" s="57"/>
    </row>
    <row r="8" spans="1:17" s="14" customFormat="1" ht="38.25" x14ac:dyDescent="0.25">
      <c r="A8" s="158">
        <v>67</v>
      </c>
      <c r="B8" s="9" t="s">
        <v>106</v>
      </c>
      <c r="C8" s="142">
        <v>100</v>
      </c>
      <c r="D8" s="16">
        <v>1.4</v>
      </c>
      <c r="E8" s="16">
        <v>10.039999999999999</v>
      </c>
      <c r="F8" s="16">
        <v>7.29</v>
      </c>
      <c r="G8" s="16">
        <v>125.1</v>
      </c>
      <c r="H8" s="16">
        <v>0.04</v>
      </c>
      <c r="I8" s="16">
        <v>9.6300000000000008</v>
      </c>
      <c r="J8" s="16"/>
      <c r="K8" s="16">
        <v>4.5</v>
      </c>
      <c r="L8" s="16">
        <v>31.23</v>
      </c>
      <c r="M8" s="16">
        <v>43.27</v>
      </c>
      <c r="N8" s="16">
        <v>19.53</v>
      </c>
      <c r="O8" s="16">
        <v>0.83</v>
      </c>
    </row>
    <row r="9" spans="1:17" s="14" customFormat="1" ht="51" x14ac:dyDescent="0.25">
      <c r="A9" s="71">
        <v>112</v>
      </c>
      <c r="B9" s="137" t="s">
        <v>102</v>
      </c>
      <c r="C9" s="145">
        <v>250</v>
      </c>
      <c r="D9" s="69">
        <v>3.37</v>
      </c>
      <c r="E9" s="69">
        <v>2.98</v>
      </c>
      <c r="F9" s="69">
        <v>15.69</v>
      </c>
      <c r="G9" s="69">
        <v>144</v>
      </c>
      <c r="H9" s="69">
        <v>0.09</v>
      </c>
      <c r="I9" s="69">
        <v>6.08</v>
      </c>
      <c r="J9" s="69"/>
      <c r="K9" s="69">
        <v>1.45</v>
      </c>
      <c r="L9" s="69">
        <v>31.5</v>
      </c>
      <c r="M9" s="69">
        <v>57.73</v>
      </c>
      <c r="N9" s="69">
        <v>23.8</v>
      </c>
      <c r="O9" s="69">
        <v>1</v>
      </c>
    </row>
    <row r="10" spans="1:17" s="14" customFormat="1" x14ac:dyDescent="0.25">
      <c r="A10" s="66">
        <v>306</v>
      </c>
      <c r="B10" s="9" t="s">
        <v>121</v>
      </c>
      <c r="C10" s="146">
        <v>200</v>
      </c>
      <c r="D10" s="67">
        <v>14.5</v>
      </c>
      <c r="E10" s="67">
        <v>9.8000000000000007</v>
      </c>
      <c r="F10" s="67">
        <v>14.5</v>
      </c>
      <c r="G10" s="67">
        <v>250.1</v>
      </c>
      <c r="H10" s="67"/>
      <c r="I10" s="67">
        <v>23.3</v>
      </c>
      <c r="J10" s="67"/>
      <c r="K10" s="67">
        <v>2.6</v>
      </c>
      <c r="L10" s="67">
        <v>69.8</v>
      </c>
      <c r="M10" s="67">
        <v>153.80000000000001</v>
      </c>
      <c r="N10" s="67">
        <v>36.299999999999997</v>
      </c>
      <c r="O10" s="67">
        <v>2.9</v>
      </c>
    </row>
    <row r="11" spans="1:17" s="14" customFormat="1" x14ac:dyDescent="0.25">
      <c r="A11" s="158">
        <v>389</v>
      </c>
      <c r="B11" s="9" t="s">
        <v>122</v>
      </c>
      <c r="C11" s="142">
        <v>200</v>
      </c>
      <c r="D11" s="16">
        <v>1</v>
      </c>
      <c r="E11" s="16">
        <v>0</v>
      </c>
      <c r="F11" s="16">
        <v>20.2</v>
      </c>
      <c r="G11" s="16">
        <v>84.8</v>
      </c>
      <c r="H11" s="163" t="s">
        <v>123</v>
      </c>
      <c r="I11" s="16">
        <v>6</v>
      </c>
      <c r="J11" s="16">
        <v>0</v>
      </c>
      <c r="K11" s="16">
        <v>0.2</v>
      </c>
      <c r="L11" s="16">
        <v>14</v>
      </c>
      <c r="M11" s="16">
        <v>14</v>
      </c>
      <c r="N11" s="16">
        <v>8</v>
      </c>
      <c r="O11" s="16">
        <v>2.8</v>
      </c>
    </row>
    <row r="12" spans="1:17" s="29" customFormat="1" ht="12.75" x14ac:dyDescent="0.2">
      <c r="A12" s="50"/>
      <c r="B12" s="9" t="s">
        <v>14</v>
      </c>
      <c r="C12" s="158">
        <v>40</v>
      </c>
      <c r="D12" s="16">
        <v>2.2400000000000002</v>
      </c>
      <c r="E12" s="16">
        <v>0.88</v>
      </c>
      <c r="F12" s="16">
        <v>19.760000000000002</v>
      </c>
      <c r="G12" s="16">
        <v>91.96</v>
      </c>
      <c r="H12" s="16">
        <v>0.04</v>
      </c>
      <c r="I12" s="16"/>
      <c r="J12" s="16"/>
      <c r="K12" s="16">
        <v>0.36</v>
      </c>
      <c r="L12" s="16">
        <v>9.1999999999999993</v>
      </c>
      <c r="M12" s="16">
        <v>42.4</v>
      </c>
      <c r="N12" s="16">
        <v>10</v>
      </c>
      <c r="O12" s="16">
        <v>1.24</v>
      </c>
    </row>
    <row r="13" spans="1:17" s="14" customFormat="1" x14ac:dyDescent="0.25">
      <c r="A13" s="50"/>
      <c r="B13" s="9"/>
      <c r="C13" s="13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7" s="30" customFormat="1" ht="16.149999999999999" customHeight="1" x14ac:dyDescent="0.2">
      <c r="A14" s="107" t="s">
        <v>11</v>
      </c>
      <c r="B14" s="108"/>
      <c r="C14" s="108"/>
      <c r="D14" s="110">
        <f>D13+D12+D11+D10+D9+D8</f>
        <v>22.51</v>
      </c>
      <c r="E14" s="110">
        <f t="shared" ref="E14:O14" si="0">E13+E12+E11+E10+E9+E8</f>
        <v>23.700000000000003</v>
      </c>
      <c r="F14" s="110">
        <f t="shared" si="0"/>
        <v>77.440000000000012</v>
      </c>
      <c r="G14" s="110">
        <f t="shared" si="0"/>
        <v>695.96</v>
      </c>
      <c r="H14" s="110">
        <f t="shared" si="0"/>
        <v>0.192</v>
      </c>
      <c r="I14" s="110">
        <f t="shared" si="0"/>
        <v>45.010000000000005</v>
      </c>
      <c r="J14" s="110">
        <f t="shared" si="0"/>
        <v>0</v>
      </c>
      <c r="K14" s="110">
        <f t="shared" si="0"/>
        <v>9.11</v>
      </c>
      <c r="L14" s="110">
        <f t="shared" si="0"/>
        <v>155.72999999999999</v>
      </c>
      <c r="M14" s="110">
        <f t="shared" si="0"/>
        <v>311.2</v>
      </c>
      <c r="N14" s="110">
        <f t="shared" si="0"/>
        <v>97.63</v>
      </c>
      <c r="O14" s="110">
        <f t="shared" si="0"/>
        <v>8.77</v>
      </c>
    </row>
    <row r="15" spans="1:17" s="11" customFormat="1" ht="16.149999999999999" customHeight="1" x14ac:dyDescent="0.2">
      <c r="A15" s="237" t="s">
        <v>19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</row>
    <row r="16" spans="1:17" s="30" customFormat="1" ht="12.75" x14ac:dyDescent="0.2">
      <c r="A16" s="160"/>
      <c r="B16" s="9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s="30" customFormat="1" ht="12.75" x14ac:dyDescent="0.2">
      <c r="A17" s="160"/>
      <c r="B17" s="9"/>
      <c r="C17" s="160"/>
      <c r="D17" s="16"/>
      <c r="E17" s="16"/>
      <c r="F17" s="16"/>
      <c r="G17" s="16"/>
      <c r="H17" s="135"/>
      <c r="I17" s="16"/>
      <c r="J17" s="16"/>
      <c r="K17" s="16"/>
      <c r="L17" s="16"/>
      <c r="M17" s="16"/>
      <c r="N17" s="16"/>
      <c r="O17" s="16"/>
    </row>
    <row r="18" spans="1:15" s="14" customFormat="1" x14ac:dyDescent="0.25">
      <c r="A18" s="15"/>
      <c r="B18" s="9"/>
      <c r="C18" s="16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14" customFormat="1" x14ac:dyDescent="0.25">
      <c r="A19" s="15"/>
      <c r="B19" s="9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1" customFormat="1" ht="16.149999999999999" customHeight="1" x14ac:dyDescent="0.2">
      <c r="A20" s="107" t="s">
        <v>11</v>
      </c>
      <c r="B20" s="108"/>
      <c r="C20" s="108"/>
      <c r="D20" s="110">
        <f>D19+D18+D17+D16</f>
        <v>0</v>
      </c>
      <c r="E20" s="110">
        <f t="shared" ref="E20:O20" si="1">E19+E18+E17+E16</f>
        <v>0</v>
      </c>
      <c r="F20" s="110">
        <f t="shared" si="1"/>
        <v>0</v>
      </c>
      <c r="G20" s="110">
        <f t="shared" si="1"/>
        <v>0</v>
      </c>
      <c r="H20" s="110">
        <f t="shared" si="1"/>
        <v>0</v>
      </c>
      <c r="I20" s="110">
        <f t="shared" si="1"/>
        <v>0</v>
      </c>
      <c r="J20" s="110">
        <f t="shared" si="1"/>
        <v>0</v>
      </c>
      <c r="K20" s="110">
        <f t="shared" si="1"/>
        <v>0</v>
      </c>
      <c r="L20" s="110">
        <f t="shared" si="1"/>
        <v>0</v>
      </c>
      <c r="M20" s="110">
        <f t="shared" si="1"/>
        <v>0</v>
      </c>
      <c r="N20" s="110">
        <f t="shared" si="1"/>
        <v>0</v>
      </c>
      <c r="O20" s="110">
        <f t="shared" si="1"/>
        <v>0</v>
      </c>
    </row>
    <row r="21" spans="1:15" s="11" customFormat="1" ht="16.149999999999999" customHeight="1" x14ac:dyDescent="0.2">
      <c r="A21" s="107" t="s">
        <v>15</v>
      </c>
      <c r="B21" s="108"/>
      <c r="C21" s="108"/>
      <c r="D21" s="109">
        <f>D14+D20</f>
        <v>22.51</v>
      </c>
      <c r="E21" s="109">
        <f t="shared" ref="E21:O21" si="2">E14+E20</f>
        <v>23.700000000000003</v>
      </c>
      <c r="F21" s="109">
        <f t="shared" si="2"/>
        <v>77.440000000000012</v>
      </c>
      <c r="G21" s="109">
        <f t="shared" si="2"/>
        <v>695.96</v>
      </c>
      <c r="H21" s="109">
        <f t="shared" si="2"/>
        <v>0.192</v>
      </c>
      <c r="I21" s="109">
        <f t="shared" si="2"/>
        <v>45.010000000000005</v>
      </c>
      <c r="J21" s="109">
        <f t="shared" si="2"/>
        <v>0</v>
      </c>
      <c r="K21" s="109">
        <f t="shared" si="2"/>
        <v>9.11</v>
      </c>
      <c r="L21" s="109">
        <f t="shared" si="2"/>
        <v>155.72999999999999</v>
      </c>
      <c r="M21" s="109">
        <f t="shared" si="2"/>
        <v>311.2</v>
      </c>
      <c r="N21" s="109">
        <f t="shared" si="2"/>
        <v>97.63</v>
      </c>
      <c r="O21" s="109">
        <f t="shared" si="2"/>
        <v>8.77</v>
      </c>
    </row>
    <row r="22" spans="1:15" ht="15.75" thickBot="1" x14ac:dyDescent="0.3"/>
    <row r="23" spans="1:15" s="14" customFormat="1" ht="26.25" thickBot="1" x14ac:dyDescent="0.3">
      <c r="B23" s="253" t="s">
        <v>51</v>
      </c>
      <c r="C23" s="254"/>
      <c r="D23" s="254"/>
      <c r="E23" s="254"/>
      <c r="F23" s="244" t="s">
        <v>52</v>
      </c>
      <c r="G23" s="245"/>
      <c r="H23" s="246"/>
      <c r="I23" s="38" t="s">
        <v>53</v>
      </c>
    </row>
    <row r="24" spans="1:15" s="14" customFormat="1" ht="15.75" thickBot="1" x14ac:dyDescent="0.3">
      <c r="B24" s="259"/>
      <c r="C24" s="260"/>
      <c r="D24" s="260"/>
      <c r="E24" s="260"/>
      <c r="F24" s="39" t="s">
        <v>1</v>
      </c>
      <c r="G24" s="39" t="s">
        <v>2</v>
      </c>
      <c r="H24" s="39" t="s">
        <v>3</v>
      </c>
      <c r="I24" s="40"/>
    </row>
    <row r="25" spans="1:15" ht="15.75" thickBot="1" x14ac:dyDescent="0.3">
      <c r="B25" s="228" t="s">
        <v>54</v>
      </c>
      <c r="C25" s="229"/>
      <c r="D25" s="229"/>
      <c r="E25" s="229"/>
      <c r="F25" s="167">
        <f>D21</f>
        <v>22.51</v>
      </c>
      <c r="G25" s="167">
        <f>E21</f>
        <v>23.700000000000003</v>
      </c>
      <c r="H25" s="167">
        <f>F21</f>
        <v>77.440000000000012</v>
      </c>
      <c r="I25" s="167">
        <f>G21</f>
        <v>695.96</v>
      </c>
    </row>
    <row r="27" spans="1:15" ht="36.75" customHeight="1" x14ac:dyDescent="0.25">
      <c r="B27" s="250" t="s">
        <v>95</v>
      </c>
      <c r="C27" s="250"/>
      <c r="D27" s="250"/>
      <c r="E27" s="250"/>
      <c r="F27" s="250"/>
      <c r="G27" s="250"/>
      <c r="H27" s="250"/>
      <c r="K27" s="13" t="s">
        <v>37</v>
      </c>
      <c r="L27" s="12" t="s">
        <v>46</v>
      </c>
    </row>
    <row r="28" spans="1:15" ht="24.75" customHeight="1" x14ac:dyDescent="0.25">
      <c r="B28" s="79" t="s">
        <v>57</v>
      </c>
      <c r="C28" s="264" t="s">
        <v>58</v>
      </c>
      <c r="D28" s="264"/>
      <c r="E28" s="264"/>
      <c r="F28" s="264"/>
      <c r="G28" s="251" t="s">
        <v>96</v>
      </c>
      <c r="H28" s="252"/>
      <c r="K28" s="13" t="s">
        <v>39</v>
      </c>
      <c r="L28" s="12" t="s">
        <v>56</v>
      </c>
    </row>
    <row r="29" spans="1:15" ht="30" x14ac:dyDescent="0.25">
      <c r="B29" s="248"/>
      <c r="C29" s="247" t="s">
        <v>59</v>
      </c>
      <c r="D29" s="225"/>
      <c r="E29" s="247" t="s">
        <v>60</v>
      </c>
      <c r="F29" s="225"/>
      <c r="G29" s="79" t="s">
        <v>59</v>
      </c>
      <c r="H29" s="79" t="s">
        <v>60</v>
      </c>
      <c r="K29" s="13" t="s">
        <v>41</v>
      </c>
      <c r="L29" s="12" t="s">
        <v>42</v>
      </c>
    </row>
    <row r="30" spans="1:15" ht="63" x14ac:dyDescent="0.25">
      <c r="B30" s="249"/>
      <c r="C30" s="224" t="s">
        <v>109</v>
      </c>
      <c r="D30" s="225"/>
      <c r="E30" s="224" t="s">
        <v>109</v>
      </c>
      <c r="F30" s="225"/>
      <c r="G30" s="162" t="s">
        <v>109</v>
      </c>
      <c r="H30" s="162" t="s">
        <v>109</v>
      </c>
      <c r="K30" s="13" t="s">
        <v>43</v>
      </c>
      <c r="L30" s="12" t="s">
        <v>44</v>
      </c>
    </row>
    <row r="31" spans="1:15" ht="25.5" x14ac:dyDescent="0.25">
      <c r="B31" s="80" t="s">
        <v>61</v>
      </c>
      <c r="C31" s="222">
        <v>80</v>
      </c>
      <c r="D31" s="223"/>
      <c r="E31" s="222">
        <v>80</v>
      </c>
      <c r="F31" s="223"/>
      <c r="G31" s="81">
        <v>40</v>
      </c>
      <c r="H31" s="81">
        <v>40</v>
      </c>
    </row>
    <row r="32" spans="1:15" x14ac:dyDescent="0.25">
      <c r="B32" s="80" t="s">
        <v>62</v>
      </c>
      <c r="C32" s="222">
        <v>150</v>
      </c>
      <c r="D32" s="223"/>
      <c r="E32" s="222">
        <v>150</v>
      </c>
      <c r="F32" s="223"/>
      <c r="G32" s="81">
        <f>90</f>
        <v>90</v>
      </c>
      <c r="H32" s="81">
        <v>90</v>
      </c>
    </row>
    <row r="33" spans="2:8" x14ac:dyDescent="0.25">
      <c r="B33" s="80" t="s">
        <v>63</v>
      </c>
      <c r="C33" s="222">
        <v>15</v>
      </c>
      <c r="D33" s="223"/>
      <c r="E33" s="222">
        <v>15</v>
      </c>
      <c r="F33" s="223"/>
      <c r="G33" s="81">
        <f>3+3.75+11.5</f>
        <v>18.25</v>
      </c>
      <c r="H33" s="81">
        <v>18.25</v>
      </c>
    </row>
    <row r="34" spans="2:8" x14ac:dyDescent="0.25">
      <c r="B34" s="82" t="s">
        <v>64</v>
      </c>
      <c r="C34" s="226">
        <v>45</v>
      </c>
      <c r="D34" s="227"/>
      <c r="E34" s="226">
        <v>45</v>
      </c>
      <c r="F34" s="227"/>
      <c r="G34" s="83">
        <f>35+40</f>
        <v>75</v>
      </c>
      <c r="H34" s="83">
        <v>75</v>
      </c>
    </row>
    <row r="35" spans="2:8" x14ac:dyDescent="0.25">
      <c r="B35" s="80" t="s">
        <v>65</v>
      </c>
      <c r="C35" s="222">
        <v>15</v>
      </c>
      <c r="D35" s="223"/>
      <c r="E35" s="222">
        <v>15</v>
      </c>
      <c r="F35" s="223"/>
      <c r="G35" s="81"/>
      <c r="H35" s="81"/>
    </row>
    <row r="36" spans="2:8" x14ac:dyDescent="0.25">
      <c r="B36" s="80" t="s">
        <v>66</v>
      </c>
      <c r="C36" s="222" t="s">
        <v>67</v>
      </c>
      <c r="D36" s="223"/>
      <c r="E36" s="220">
        <v>188</v>
      </c>
      <c r="F36" s="221"/>
      <c r="G36" s="81">
        <v>27</v>
      </c>
      <c r="H36" s="81">
        <v>20</v>
      </c>
    </row>
    <row r="37" spans="2:8" x14ac:dyDescent="0.25">
      <c r="B37" s="80" t="s">
        <v>68</v>
      </c>
      <c r="C37" s="222">
        <v>350</v>
      </c>
      <c r="D37" s="223"/>
      <c r="E37" s="222" t="s">
        <v>69</v>
      </c>
      <c r="F37" s="223"/>
      <c r="G37" s="81">
        <f>98.6+12.5+50+25+12.5+3.25+12+7.5</f>
        <v>221.35</v>
      </c>
      <c r="H37" s="102">
        <f>78.9+10+40+20+10+2.5+10+7.5</f>
        <v>178.9</v>
      </c>
    </row>
    <row r="38" spans="2:8" x14ac:dyDescent="0.25">
      <c r="B38" s="80" t="s">
        <v>70</v>
      </c>
      <c r="C38" s="222">
        <v>200</v>
      </c>
      <c r="D38" s="223"/>
      <c r="E38" s="222" t="s">
        <v>71</v>
      </c>
      <c r="F38" s="223"/>
      <c r="G38" s="81">
        <v>100</v>
      </c>
      <c r="H38" s="81">
        <v>100</v>
      </c>
    </row>
    <row r="39" spans="2:8" ht="25.5" x14ac:dyDescent="0.25">
      <c r="B39" s="80" t="s">
        <v>72</v>
      </c>
      <c r="C39" s="222">
        <v>15</v>
      </c>
      <c r="D39" s="223"/>
      <c r="E39" s="222">
        <v>15</v>
      </c>
      <c r="F39" s="223"/>
      <c r="G39" s="81">
        <v>20</v>
      </c>
      <c r="H39" s="81">
        <v>37</v>
      </c>
    </row>
    <row r="40" spans="2:8" ht="38.25" x14ac:dyDescent="0.25">
      <c r="B40" s="80" t="s">
        <v>73</v>
      </c>
      <c r="C40" s="222">
        <v>200</v>
      </c>
      <c r="D40" s="223"/>
      <c r="E40" s="222">
        <v>200</v>
      </c>
      <c r="F40" s="223"/>
      <c r="G40" s="81"/>
      <c r="H40" s="81"/>
    </row>
    <row r="41" spans="2:8" ht="25.5" x14ac:dyDescent="0.25">
      <c r="B41" s="80" t="s">
        <v>74</v>
      </c>
      <c r="C41" s="222" t="s">
        <v>75</v>
      </c>
      <c r="D41" s="223"/>
      <c r="E41" s="222">
        <v>70</v>
      </c>
      <c r="F41" s="223"/>
      <c r="G41" s="81">
        <f>81+40</f>
        <v>121</v>
      </c>
      <c r="H41" s="81">
        <f>71+25</f>
        <v>96</v>
      </c>
    </row>
    <row r="42" spans="2:8" ht="25.5" x14ac:dyDescent="0.25">
      <c r="B42" s="80" t="s">
        <v>76</v>
      </c>
      <c r="C42" s="222" t="s">
        <v>77</v>
      </c>
      <c r="D42" s="223"/>
      <c r="E42" s="222">
        <v>35</v>
      </c>
      <c r="F42" s="223"/>
      <c r="G42" s="81"/>
      <c r="H42" s="81"/>
    </row>
    <row r="43" spans="2:8" x14ac:dyDescent="0.25">
      <c r="B43" s="80" t="s">
        <v>78</v>
      </c>
      <c r="C43" s="222">
        <v>60</v>
      </c>
      <c r="D43" s="223"/>
      <c r="E43" s="222">
        <v>58</v>
      </c>
      <c r="F43" s="223"/>
      <c r="G43" s="81"/>
      <c r="H43" s="81"/>
    </row>
    <row r="44" spans="2:8" x14ac:dyDescent="0.25">
      <c r="B44" s="80" t="s">
        <v>79</v>
      </c>
      <c r="C44" s="222">
        <v>15</v>
      </c>
      <c r="D44" s="223"/>
      <c r="E44" s="222">
        <v>14.7</v>
      </c>
      <c r="F44" s="223"/>
      <c r="G44" s="81"/>
      <c r="H44" s="81"/>
    </row>
    <row r="45" spans="2:8" ht="25.5" x14ac:dyDescent="0.25">
      <c r="B45" s="80" t="s">
        <v>80</v>
      </c>
      <c r="C45" s="222">
        <v>300</v>
      </c>
      <c r="D45" s="223"/>
      <c r="E45" s="222">
        <v>300</v>
      </c>
      <c r="F45" s="223"/>
      <c r="G45" s="81">
        <v>100</v>
      </c>
      <c r="H45" s="81">
        <v>100</v>
      </c>
    </row>
    <row r="46" spans="2:8" ht="38.25" x14ac:dyDescent="0.25">
      <c r="B46" s="80" t="s">
        <v>81</v>
      </c>
      <c r="C46" s="222">
        <v>150</v>
      </c>
      <c r="D46" s="223"/>
      <c r="E46" s="222">
        <v>150</v>
      </c>
      <c r="F46" s="223"/>
      <c r="G46" s="81">
        <v>237</v>
      </c>
      <c r="H46" s="81">
        <v>230</v>
      </c>
    </row>
    <row r="47" spans="2:8" ht="25.5" x14ac:dyDescent="0.25">
      <c r="B47" s="80" t="s">
        <v>82</v>
      </c>
      <c r="C47" s="222">
        <v>50</v>
      </c>
      <c r="D47" s="223"/>
      <c r="E47" s="222">
        <v>50</v>
      </c>
      <c r="F47" s="223"/>
      <c r="G47" s="81">
        <v>83.7</v>
      </c>
      <c r="H47" s="81">
        <v>82</v>
      </c>
    </row>
    <row r="48" spans="2:8" x14ac:dyDescent="0.25">
      <c r="B48" s="80" t="s">
        <v>83</v>
      </c>
      <c r="C48" s="222">
        <v>10</v>
      </c>
      <c r="D48" s="223"/>
      <c r="E48" s="222">
        <v>9.8000000000000007</v>
      </c>
      <c r="F48" s="223"/>
      <c r="G48" s="81"/>
      <c r="H48" s="102"/>
    </row>
    <row r="49" spans="2:8" ht="25.5" x14ac:dyDescent="0.25">
      <c r="B49" s="80" t="s">
        <v>84</v>
      </c>
      <c r="C49" s="222">
        <v>10</v>
      </c>
      <c r="D49" s="223"/>
      <c r="E49" s="222">
        <v>10</v>
      </c>
      <c r="F49" s="223"/>
      <c r="G49" s="86">
        <v>12.5</v>
      </c>
      <c r="H49" s="86">
        <v>12.5</v>
      </c>
    </row>
    <row r="50" spans="2:8" x14ac:dyDescent="0.25">
      <c r="B50" s="80" t="s">
        <v>85</v>
      </c>
      <c r="C50" s="222">
        <v>30</v>
      </c>
      <c r="D50" s="223"/>
      <c r="E50" s="222">
        <v>30</v>
      </c>
      <c r="F50" s="223"/>
      <c r="G50" s="81">
        <v>30</v>
      </c>
      <c r="H50" s="81">
        <v>30</v>
      </c>
    </row>
    <row r="51" spans="2:8" x14ac:dyDescent="0.25">
      <c r="B51" s="80" t="s">
        <v>86</v>
      </c>
      <c r="C51" s="222">
        <v>15</v>
      </c>
      <c r="D51" s="223"/>
      <c r="E51" s="222">
        <v>15</v>
      </c>
      <c r="F51" s="223"/>
      <c r="G51" s="81">
        <v>15</v>
      </c>
      <c r="H51" s="81">
        <v>15</v>
      </c>
    </row>
    <row r="52" spans="2:8" x14ac:dyDescent="0.25">
      <c r="B52" s="80" t="s">
        <v>87</v>
      </c>
      <c r="C52" s="222" t="s">
        <v>88</v>
      </c>
      <c r="D52" s="223"/>
      <c r="E52" s="222">
        <v>40</v>
      </c>
      <c r="F52" s="223"/>
      <c r="G52" s="81">
        <v>40</v>
      </c>
      <c r="H52" s="81">
        <v>40</v>
      </c>
    </row>
    <row r="53" spans="2:8" x14ac:dyDescent="0.25">
      <c r="B53" s="80" t="s">
        <v>89</v>
      </c>
      <c r="C53" s="222">
        <v>40</v>
      </c>
      <c r="D53" s="223"/>
      <c r="E53" s="220">
        <v>40</v>
      </c>
      <c r="F53" s="221"/>
      <c r="G53" s="81">
        <f>5+20+2.5+6+6</f>
        <v>39.5</v>
      </c>
      <c r="H53" s="81">
        <v>39.5</v>
      </c>
    </row>
    <row r="54" spans="2:8" x14ac:dyDescent="0.25">
      <c r="B54" s="80" t="s">
        <v>90</v>
      </c>
      <c r="C54" s="220">
        <v>10</v>
      </c>
      <c r="D54" s="221"/>
      <c r="E54" s="222">
        <v>10</v>
      </c>
      <c r="F54" s="223"/>
      <c r="G54" s="81"/>
      <c r="H54" s="81"/>
    </row>
    <row r="55" spans="2:8" x14ac:dyDescent="0.25">
      <c r="B55" s="80" t="s">
        <v>91</v>
      </c>
      <c r="C55" s="222">
        <v>0.4</v>
      </c>
      <c r="D55" s="223"/>
      <c r="E55" s="222">
        <v>0.4</v>
      </c>
      <c r="F55" s="223"/>
      <c r="G55" s="81">
        <v>0.5</v>
      </c>
      <c r="H55" s="81">
        <v>0.5</v>
      </c>
    </row>
    <row r="56" spans="2:8" x14ac:dyDescent="0.25">
      <c r="B56" s="80" t="s">
        <v>92</v>
      </c>
      <c r="C56" s="222">
        <v>1.2</v>
      </c>
      <c r="D56" s="223"/>
      <c r="E56" s="222">
        <v>1.2</v>
      </c>
      <c r="F56" s="223"/>
      <c r="G56" s="81"/>
      <c r="H56" s="81"/>
    </row>
    <row r="57" spans="2:8" x14ac:dyDescent="0.25">
      <c r="B57" s="80" t="s">
        <v>93</v>
      </c>
      <c r="C57" s="222">
        <v>1</v>
      </c>
      <c r="D57" s="223"/>
      <c r="E57" s="222">
        <v>1</v>
      </c>
      <c r="F57" s="223"/>
      <c r="G57" s="81"/>
      <c r="H57" s="81"/>
    </row>
    <row r="58" spans="2:8" x14ac:dyDescent="0.25">
      <c r="B58" s="80" t="s">
        <v>94</v>
      </c>
      <c r="C58" s="222">
        <v>5</v>
      </c>
      <c r="D58" s="223"/>
      <c r="E58" s="222">
        <v>5</v>
      </c>
      <c r="F58" s="223"/>
      <c r="G58" s="81">
        <v>3.8</v>
      </c>
      <c r="H58" s="81">
        <v>3.8</v>
      </c>
    </row>
  </sheetData>
  <sheetProtection formatCells="0" formatColumns="0" formatRows="0" insertColumns="0" insertRows="0" insertHyperlinks="0" deleteColumns="0" deleteRows="0" sort="0" autoFilter="0" pivotTables="0"/>
  <mergeCells count="76">
    <mergeCell ref="H5:K5"/>
    <mergeCell ref="L5:O5"/>
    <mergeCell ref="A5:A6"/>
    <mergeCell ref="B5:B6"/>
    <mergeCell ref="C5:C6"/>
    <mergeCell ref="D5:F5"/>
    <mergeCell ref="G5:G6"/>
    <mergeCell ref="B23:E24"/>
    <mergeCell ref="F23:H23"/>
    <mergeCell ref="B25:E25"/>
    <mergeCell ref="A7:O7"/>
    <mergeCell ref="A15:O15"/>
    <mergeCell ref="B27:H27"/>
    <mergeCell ref="C28:F28"/>
    <mergeCell ref="B29:B30"/>
    <mergeCell ref="C29:D29"/>
    <mergeCell ref="E29:F29"/>
    <mergeCell ref="G28:H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E31:F31"/>
    <mergeCell ref="E30:F30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8:F58"/>
    <mergeCell ref="E53:F53"/>
    <mergeCell ref="E54:F54"/>
    <mergeCell ref="E55:F55"/>
    <mergeCell ref="E56:F56"/>
    <mergeCell ref="E57:F57"/>
  </mergeCells>
  <pageMargins left="0.70866141732283472" right="0.70866141732283472" top="0.74803149606299213" bottom="0.74803149606299213" header="0.31496062992125984" footer="0.31496062992125984"/>
  <pageSetup paperSize="9" scale="71" fitToWidth="2" fitToHeight="2" orientation="landscape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Титульный лист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свод 10 дней</vt:lpstr>
      <vt:lpstr>'1 день'!Область_печати</vt:lpstr>
      <vt:lpstr>'10 день'!Область_печати</vt:lpstr>
      <vt:lpstr>'2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день'!Область_печати</vt:lpstr>
      <vt:lpstr>'9 день'!Область_печати</vt:lpstr>
      <vt:lpstr>'свод 10 дней'!Область_печати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Админ</cp:lastModifiedBy>
  <cp:lastPrinted>2019-04-12T08:05:01Z</cp:lastPrinted>
  <dcterms:created xsi:type="dcterms:W3CDTF">2017-02-04T19:31:45Z</dcterms:created>
  <dcterms:modified xsi:type="dcterms:W3CDTF">2019-05-07T12:50:31Z</dcterms:modified>
</cp:coreProperties>
</file>